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135" windowHeight="813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_FilterDatabase" localSheetId="2" hidden="1">Лист3!$A$4:$H$264</definedName>
    <definedName name="_xlnm._FilterDatabase" localSheetId="3" hidden="1">Лист4!$A$6:$G$208</definedName>
  </definedNames>
  <calcPr calcId="124519" refMode="R1C1"/>
</workbook>
</file>

<file path=xl/calcChain.xml><?xml version="1.0" encoding="utf-8"?>
<calcChain xmlns="http://schemas.openxmlformats.org/spreadsheetml/2006/main">
  <c r="G154" i="4"/>
  <c r="F154"/>
  <c r="G155"/>
  <c r="F155"/>
  <c r="H194" i="3"/>
  <c r="G194"/>
  <c r="G184"/>
  <c r="D26" i="2" l="1"/>
  <c r="D25"/>
  <c r="D24"/>
  <c r="D23"/>
  <c r="D22"/>
  <c r="D21"/>
  <c r="D20"/>
  <c r="D19"/>
  <c r="D18"/>
  <c r="D17"/>
  <c r="D16"/>
  <c r="D15"/>
  <c r="D14"/>
  <c r="D13"/>
  <c r="D12"/>
  <c r="D11"/>
  <c r="D10"/>
  <c r="D9"/>
  <c r="C27" i="1"/>
  <c r="F200" i="4"/>
  <c r="G74"/>
  <c r="G75"/>
  <c r="G76"/>
  <c r="F74"/>
  <c r="F75"/>
  <c r="F76"/>
  <c r="G57"/>
  <c r="F57"/>
  <c r="G56"/>
  <c r="F56"/>
  <c r="G43" i="3"/>
  <c r="G42"/>
  <c r="H61"/>
  <c r="G61"/>
  <c r="F73" i="4" s="1"/>
  <c r="G176"/>
  <c r="F176"/>
  <c r="G175"/>
  <c r="F175"/>
  <c r="G174"/>
  <c r="F174"/>
  <c r="G173"/>
  <c r="F173"/>
  <c r="G151"/>
  <c r="F151"/>
  <c r="G150"/>
  <c r="F150"/>
  <c r="G149"/>
  <c r="F149"/>
  <c r="G130"/>
  <c r="F130"/>
  <c r="G129"/>
  <c r="F129"/>
  <c r="G128"/>
  <c r="F128"/>
  <c r="G113"/>
  <c r="F113"/>
  <c r="G112"/>
  <c r="F112"/>
  <c r="G111"/>
  <c r="F111"/>
  <c r="G95"/>
  <c r="F95"/>
  <c r="G94"/>
  <c r="F94"/>
  <c r="G93"/>
  <c r="F93"/>
  <c r="G92"/>
  <c r="F92"/>
  <c r="G84"/>
  <c r="F84"/>
  <c r="G83"/>
  <c r="G82" s="1"/>
  <c r="F83"/>
  <c r="F82" s="1"/>
  <c r="G80"/>
  <c r="F80"/>
  <c r="F79"/>
  <c r="F77" s="1"/>
  <c r="G79"/>
  <c r="G77" s="1"/>
  <c r="H143" i="3"/>
  <c r="G143"/>
  <c r="G67"/>
  <c r="H135"/>
  <c r="G201" i="4"/>
  <c r="G200" s="1"/>
  <c r="G199" s="1"/>
  <c r="F201"/>
  <c r="G73" l="1"/>
  <c r="G135" i="3" l="1"/>
  <c r="G181" i="4" l="1"/>
  <c r="G180" s="1"/>
  <c r="G179" s="1"/>
  <c r="G184"/>
  <c r="H164" i="3"/>
  <c r="H163" s="1"/>
  <c r="H167"/>
  <c r="H166" l="1"/>
  <c r="G183" i="4"/>
  <c r="G182" l="1"/>
  <c r="G192"/>
  <c r="G191" s="1"/>
  <c r="G196"/>
  <c r="G195" s="1"/>
  <c r="G198"/>
  <c r="G197" s="1"/>
  <c r="H248" i="3"/>
  <c r="H247" s="1"/>
  <c r="G204" i="4"/>
  <c r="G207"/>
  <c r="G147"/>
  <c r="G148"/>
  <c r="G139"/>
  <c r="G140"/>
  <c r="G141"/>
  <c r="G123"/>
  <c r="G122" s="1"/>
  <c r="G118"/>
  <c r="G194" l="1"/>
  <c r="G190" s="1"/>
  <c r="G189" s="1"/>
  <c r="G188" s="1"/>
  <c r="G203"/>
  <c r="G71" l="1"/>
  <c r="G68"/>
  <c r="H48" i="3" l="1"/>
  <c r="H47" s="1"/>
  <c r="G61" i="4"/>
  <c r="G62"/>
  <c r="H213" i="3"/>
  <c r="G52" i="4"/>
  <c r="G21"/>
  <c r="G16"/>
  <c r="G28"/>
  <c r="G27" s="1"/>
  <c r="G26"/>
  <c r="G25" s="1"/>
  <c r="G17"/>
  <c r="H37" i="3"/>
  <c r="G43" i="4" s="1"/>
  <c r="H181" i="3"/>
  <c r="G125" i="4" s="1"/>
  <c r="H225" i="3"/>
  <c r="G135" i="4" s="1"/>
  <c r="H221" i="3"/>
  <c r="G127" i="4" s="1"/>
  <c r="G126" s="1"/>
  <c r="H127" i="3"/>
  <c r="G110" i="4" s="1"/>
  <c r="H153" i="3"/>
  <c r="G144" i="4" s="1"/>
  <c r="H188" i="3"/>
  <c r="H191"/>
  <c r="H257"/>
  <c r="H259"/>
  <c r="H43" l="1"/>
  <c r="H42"/>
  <c r="G24" i="4"/>
  <c r="H256" i="3"/>
  <c r="H255" s="1"/>
  <c r="H199"/>
  <c r="H139"/>
  <c r="H220"/>
  <c r="H14"/>
  <c r="G15" i="4" s="1"/>
  <c r="H10" i="3"/>
  <c r="G11" i="4" s="1"/>
  <c r="H235" i="3"/>
  <c r="H234" s="1"/>
  <c r="H103"/>
  <c r="G49" i="4" s="1"/>
  <c r="H241" i="3"/>
  <c r="H117"/>
  <c r="H104"/>
  <c r="G50" i="4" s="1"/>
  <c r="H96" i="3"/>
  <c r="H27"/>
  <c r="G22" i="4" s="1"/>
  <c r="H236" i="3"/>
  <c r="H9"/>
  <c r="H8" s="1"/>
  <c r="H7" s="1"/>
  <c r="H102" l="1"/>
  <c r="B26" i="2"/>
  <c r="B25"/>
  <c r="B24"/>
  <c r="B23"/>
  <c r="B22"/>
  <c r="B21"/>
  <c r="B20"/>
  <c r="B19"/>
  <c r="B18"/>
  <c r="B17"/>
  <c r="B16"/>
  <c r="B15"/>
  <c r="B14"/>
  <c r="B13"/>
  <c r="B12"/>
  <c r="B11"/>
  <c r="B10"/>
  <c r="B9"/>
  <c r="B27" i="1"/>
  <c r="G263" i="3"/>
  <c r="F196" i="4"/>
  <c r="F198"/>
  <c r="F204"/>
  <c r="F203" s="1"/>
  <c r="G259" i="3"/>
  <c r="F181" i="4"/>
  <c r="F184"/>
  <c r="G170"/>
  <c r="G171"/>
  <c r="F171"/>
  <c r="G166"/>
  <c r="G163"/>
  <c r="G160"/>
  <c r="F147"/>
  <c r="F148"/>
  <c r="F144"/>
  <c r="F127"/>
  <c r="F126" s="1"/>
  <c r="F125"/>
  <c r="G124"/>
  <c r="F124"/>
  <c r="F122"/>
  <c r="G121"/>
  <c r="G120" s="1"/>
  <c r="G105"/>
  <c r="F105"/>
  <c r="G99"/>
  <c r="F99"/>
  <c r="G90"/>
  <c r="F90"/>
  <c r="F207"/>
  <c r="F26"/>
  <c r="F25" s="1"/>
  <c r="F68"/>
  <c r="F67" s="1"/>
  <c r="F71"/>
  <c r="F55"/>
  <c r="F52"/>
  <c r="F51" s="1"/>
  <c r="F49"/>
  <c r="F32"/>
  <c r="F31" s="1"/>
  <c r="F30" s="1"/>
  <c r="F29" s="1"/>
  <c r="F28"/>
  <c r="F21"/>
  <c r="F15"/>
  <c r="F17"/>
  <c r="F11"/>
  <c r="G236" i="3"/>
  <c r="F37" i="4" s="1"/>
  <c r="G134" i="3"/>
  <c r="G150"/>
  <c r="G139"/>
  <c r="G127"/>
  <c r="F110" i="4" s="1"/>
  <c r="G221" i="3"/>
  <c r="G220" s="1"/>
  <c r="G181"/>
  <c r="G225"/>
  <c r="F135" i="4" s="1"/>
  <c r="F134" s="1"/>
  <c r="F133" s="1"/>
  <c r="F132" s="1"/>
  <c r="F166"/>
  <c r="G188" i="3"/>
  <c r="F160" i="4" s="1"/>
  <c r="G257" i="3"/>
  <c r="G119" i="4" l="1"/>
  <c r="G256" i="3"/>
  <c r="G255" s="1"/>
  <c r="F118" i="4"/>
  <c r="F121"/>
  <c r="F120" s="1"/>
  <c r="F119" s="1"/>
  <c r="G212" i="3" l="1"/>
  <c r="G198"/>
  <c r="F170" i="4" s="1"/>
  <c r="F169" s="1"/>
  <c r="G191" i="3"/>
  <c r="F163" i="4" s="1"/>
  <c r="G211" i="3" l="1"/>
  <c r="F54" i="4"/>
  <c r="G31" i="3" l="1"/>
  <c r="G30" s="1"/>
  <c r="G29" s="1"/>
  <c r="F199" i="4" l="1"/>
  <c r="F197"/>
  <c r="F195"/>
  <c r="F192"/>
  <c r="F191" s="1"/>
  <c r="G253" i="3"/>
  <c r="G248"/>
  <c r="G247" s="1"/>
  <c r="H251"/>
  <c r="G251"/>
  <c r="H253"/>
  <c r="F194" i="4" l="1"/>
  <c r="F190" s="1"/>
  <c r="H250" i="3"/>
  <c r="H246" s="1"/>
  <c r="H245" s="1"/>
  <c r="G250"/>
  <c r="G246" s="1"/>
  <c r="H31"/>
  <c r="H30" s="1"/>
  <c r="H29" s="1"/>
  <c r="G31" i="4"/>
  <c r="G30" s="1"/>
  <c r="G29" s="1"/>
  <c r="H46" i="3"/>
  <c r="G167"/>
  <c r="G109" i="4"/>
  <c r="H126" i="3"/>
  <c r="G98" i="4"/>
  <c r="G97" s="1"/>
  <c r="G96" s="1"/>
  <c r="F98"/>
  <c r="F97" s="1"/>
  <c r="F96" s="1"/>
  <c r="G206"/>
  <c r="G205" s="1"/>
  <c r="F206"/>
  <c r="F205" s="1"/>
  <c r="G117"/>
  <c r="G116" s="1"/>
  <c r="G143"/>
  <c r="G142" s="1"/>
  <c r="G155" i="3"/>
  <c r="F146" i="4" s="1"/>
  <c r="H147" i="3"/>
  <c r="H146" s="1"/>
  <c r="F139" i="4"/>
  <c r="F141"/>
  <c r="G152" i="3"/>
  <c r="G151" s="1"/>
  <c r="F53" i="4"/>
  <c r="G48"/>
  <c r="H224" i="3"/>
  <c r="H223" s="1"/>
  <c r="H111"/>
  <c r="H110" s="1"/>
  <c r="H109" s="1"/>
  <c r="H108" s="1"/>
  <c r="G104"/>
  <c r="H173"/>
  <c r="H172" s="1"/>
  <c r="H171" s="1"/>
  <c r="H170" s="1"/>
  <c r="H152"/>
  <c r="H151" s="1"/>
  <c r="H262"/>
  <c r="H261" s="1"/>
  <c r="H197"/>
  <c r="H196" s="1"/>
  <c r="H195" s="1"/>
  <c r="H180"/>
  <c r="H179" s="1"/>
  <c r="H178" s="1"/>
  <c r="H177" s="1"/>
  <c r="H176" s="1"/>
  <c r="G180"/>
  <c r="H138"/>
  <c r="H137" s="1"/>
  <c r="H136" s="1"/>
  <c r="H134"/>
  <c r="H133" s="1"/>
  <c r="G37"/>
  <c r="G27"/>
  <c r="G15"/>
  <c r="G147"/>
  <c r="G224"/>
  <c r="G223" s="1"/>
  <c r="G235"/>
  <c r="F36" i="4" s="1"/>
  <c r="G48" i="3"/>
  <c r="G47" s="1"/>
  <c r="H59"/>
  <c r="G59"/>
  <c r="H73"/>
  <c r="H72" s="1"/>
  <c r="H71" s="1"/>
  <c r="H70" s="1"/>
  <c r="H76"/>
  <c r="H75" s="1"/>
  <c r="H74" s="1"/>
  <c r="G76"/>
  <c r="G75" s="1"/>
  <c r="G74" s="1"/>
  <c r="G73"/>
  <c r="G72" s="1"/>
  <c r="G71" s="1"/>
  <c r="G70" s="1"/>
  <c r="G9"/>
  <c r="G8" s="1"/>
  <c r="G7" s="1"/>
  <c r="G197"/>
  <c r="G196" s="1"/>
  <c r="G195" s="1"/>
  <c r="F189" i="4" l="1"/>
  <c r="F188" s="1"/>
  <c r="F22"/>
  <c r="G13" i="3"/>
  <c r="G12" s="1"/>
  <c r="G11" s="1"/>
  <c r="F16" i="4"/>
  <c r="F14" s="1"/>
  <c r="H155" i="3"/>
  <c r="G102"/>
  <c r="F50" i="4"/>
  <c r="F48" s="1"/>
  <c r="F47" s="1"/>
  <c r="G166" i="3"/>
  <c r="F182" i="4" s="1"/>
  <c r="F183"/>
  <c r="F91"/>
  <c r="G91"/>
  <c r="F140"/>
  <c r="F138" s="1"/>
  <c r="G138"/>
  <c r="G137" s="1"/>
  <c r="G179" i="3"/>
  <c r="G178" s="1"/>
  <c r="G177" s="1"/>
  <c r="G222"/>
  <c r="H69"/>
  <c r="G69"/>
  <c r="H154" l="1"/>
  <c r="G146" i="4"/>
  <c r="G145" s="1"/>
  <c r="G262" i="3"/>
  <c r="G261" s="1"/>
  <c r="G154" l="1"/>
  <c r="G146"/>
  <c r="G133"/>
  <c r="G126"/>
  <c r="G138"/>
  <c r="G137" s="1"/>
  <c r="F145" i="4"/>
  <c r="F143"/>
  <c r="F142" s="1"/>
  <c r="F137"/>
  <c r="H116" i="3"/>
  <c r="G117"/>
  <c r="G121"/>
  <c r="G120" s="1"/>
  <c r="H222"/>
  <c r="G134" i="4"/>
  <c r="G162"/>
  <c r="G161" s="1"/>
  <c r="G165"/>
  <c r="G164" s="1"/>
  <c r="G158"/>
  <c r="G169"/>
  <c r="G168" s="1"/>
  <c r="G70"/>
  <c r="G64"/>
  <c r="G60"/>
  <c r="F60"/>
  <c r="G36"/>
  <c r="H53" i="3"/>
  <c r="H56"/>
  <c r="H233"/>
  <c r="H232" s="1"/>
  <c r="G234"/>
  <c r="G233" s="1"/>
  <c r="G37" i="4"/>
  <c r="G53"/>
  <c r="H211" i="3" s="1"/>
  <c r="H212"/>
  <c r="H204"/>
  <c r="H203" s="1"/>
  <c r="G204"/>
  <c r="H214"/>
  <c r="G214"/>
  <c r="G173"/>
  <c r="G172" i="4"/>
  <c r="F172"/>
  <c r="G178"/>
  <c r="G186"/>
  <c r="G185" s="1"/>
  <c r="F186"/>
  <c r="F185" s="1"/>
  <c r="F180"/>
  <c r="F179" s="1"/>
  <c r="F178" s="1"/>
  <c r="F165"/>
  <c r="F164" s="1"/>
  <c r="F159"/>
  <c r="F162"/>
  <c r="F161" s="1"/>
  <c r="F158"/>
  <c r="G136"/>
  <c r="F117"/>
  <c r="F116" s="1"/>
  <c r="F109"/>
  <c r="F108" s="1"/>
  <c r="G108"/>
  <c r="G107" s="1"/>
  <c r="G115"/>
  <c r="G104"/>
  <c r="G103" s="1"/>
  <c r="G102" s="1"/>
  <c r="G101" s="1"/>
  <c r="G100" s="1"/>
  <c r="F104"/>
  <c r="F103" s="1"/>
  <c r="F102" s="1"/>
  <c r="F101" s="1"/>
  <c r="F100" s="1"/>
  <c r="G89"/>
  <c r="G88" s="1"/>
  <c r="G87" s="1"/>
  <c r="G86" s="1"/>
  <c r="F89"/>
  <c r="F88" s="1"/>
  <c r="F87" s="1"/>
  <c r="F86" s="1"/>
  <c r="F115" l="1"/>
  <c r="F107"/>
  <c r="F136"/>
  <c r="F157"/>
  <c r="G157"/>
  <c r="G159"/>
  <c r="F168"/>
  <c r="F167" s="1"/>
  <c r="G133"/>
  <c r="G132" s="1"/>
  <c r="G106" s="1"/>
  <c r="G63"/>
  <c r="G167"/>
  <c r="H210" i="3"/>
  <c r="H209" s="1"/>
  <c r="F106" i="4" l="1"/>
  <c r="F153"/>
  <c r="G153"/>
  <c r="G210" i="3" l="1"/>
  <c r="G209" s="1"/>
  <c r="G51" i="4"/>
  <c r="G47" s="1"/>
  <c r="G42"/>
  <c r="G41" s="1"/>
  <c r="G40" s="1"/>
  <c r="G39" s="1"/>
  <c r="G53" i="3"/>
  <c r="G56"/>
  <c r="F70" i="4"/>
  <c r="F66" s="1"/>
  <c r="F44" s="1"/>
  <c r="F64"/>
  <c r="F42"/>
  <c r="F41" s="1"/>
  <c r="F40" s="1"/>
  <c r="F39" s="1"/>
  <c r="F27"/>
  <c r="F24" s="1"/>
  <c r="G10"/>
  <c r="F10"/>
  <c r="G9" l="1"/>
  <c r="G8" s="1"/>
  <c r="F63"/>
  <c r="F9"/>
  <c r="F13"/>
  <c r="F12" s="1"/>
  <c r="F8" l="1"/>
  <c r="H19" i="3" l="1"/>
  <c r="H18" s="1"/>
  <c r="H17" s="1"/>
  <c r="H28"/>
  <c r="H36"/>
  <c r="H35" s="1"/>
  <c r="H34" s="1"/>
  <c r="H33" s="1"/>
  <c r="H40"/>
  <c r="H39" s="1"/>
  <c r="H67"/>
  <c r="H66" s="1"/>
  <c r="H65" s="1"/>
  <c r="H82"/>
  <c r="H81" s="1"/>
  <c r="H80" s="1"/>
  <c r="H79" s="1"/>
  <c r="H78" s="1"/>
  <c r="H88"/>
  <c r="H87" s="1"/>
  <c r="H86" s="1"/>
  <c r="H97"/>
  <c r="H94" s="1"/>
  <c r="H105"/>
  <c r="H101" s="1"/>
  <c r="H100" s="1"/>
  <c r="H99" s="1"/>
  <c r="H107"/>
  <c r="H121"/>
  <c r="H120" s="1"/>
  <c r="H115" s="1"/>
  <c r="H114" s="1"/>
  <c r="H130"/>
  <c r="H129" s="1"/>
  <c r="H128" s="1"/>
  <c r="H142"/>
  <c r="H141" s="1"/>
  <c r="H132" s="1"/>
  <c r="H160"/>
  <c r="H162"/>
  <c r="H187"/>
  <c r="H190"/>
  <c r="H189" s="1"/>
  <c r="H193"/>
  <c r="H192" s="1"/>
  <c r="H207"/>
  <c r="H219"/>
  <c r="H228"/>
  <c r="H227" s="1"/>
  <c r="H226" s="1"/>
  <c r="H239"/>
  <c r="H238" s="1"/>
  <c r="G241"/>
  <c r="G239"/>
  <c r="G238" s="1"/>
  <c r="G232"/>
  <c r="G228"/>
  <c r="G227" s="1"/>
  <c r="G226" s="1"/>
  <c r="G219"/>
  <c r="G218" s="1"/>
  <c r="G207"/>
  <c r="G203"/>
  <c r="G193"/>
  <c r="G190"/>
  <c r="G187"/>
  <c r="G172"/>
  <c r="G171" s="1"/>
  <c r="G170" s="1"/>
  <c r="G164"/>
  <c r="G160"/>
  <c r="G142"/>
  <c r="G141" s="1"/>
  <c r="G130"/>
  <c r="G129" s="1"/>
  <c r="G128" s="1"/>
  <c r="G125" s="1"/>
  <c r="G116"/>
  <c r="G115" s="1"/>
  <c r="G114" s="1"/>
  <c r="G111"/>
  <c r="G110" s="1"/>
  <c r="G109" s="1"/>
  <c r="G108" s="1"/>
  <c r="G107" s="1"/>
  <c r="G105"/>
  <c r="G101" s="1"/>
  <c r="G100" s="1"/>
  <c r="G99" s="1"/>
  <c r="G97"/>
  <c r="F38" i="4" s="1"/>
  <c r="G88" i="3"/>
  <c r="G87" s="1"/>
  <c r="G82"/>
  <c r="G81" s="1"/>
  <c r="G80" s="1"/>
  <c r="G79" s="1"/>
  <c r="G78" s="1"/>
  <c r="G66"/>
  <c r="G65" s="1"/>
  <c r="G46"/>
  <c r="G40"/>
  <c r="G39" s="1"/>
  <c r="G36"/>
  <c r="G35" s="1"/>
  <c r="G34" s="1"/>
  <c r="G33" s="1"/>
  <c r="G28"/>
  <c r="G25" s="1"/>
  <c r="G19"/>
  <c r="G18" s="1"/>
  <c r="G17" s="1"/>
  <c r="G6" s="1"/>
  <c r="E28" i="2"/>
  <c r="C28"/>
  <c r="D28"/>
  <c r="G23" i="4" l="1"/>
  <c r="G20" s="1"/>
  <c r="H25" i="3"/>
  <c r="G85"/>
  <c r="G86"/>
  <c r="H158"/>
  <c r="H145" s="1"/>
  <c r="H159"/>
  <c r="G158"/>
  <c r="G145" s="1"/>
  <c r="G159"/>
  <c r="G189"/>
  <c r="G192"/>
  <c r="F23" i="4"/>
  <c r="F20" s="1"/>
  <c r="H125" i="3"/>
  <c r="G163"/>
  <c r="G162"/>
  <c r="G202"/>
  <c r="G201" s="1"/>
  <c r="H237"/>
  <c r="H231" s="1"/>
  <c r="G237"/>
  <c r="G231" s="1"/>
  <c r="H202"/>
  <c r="H201" s="1"/>
  <c r="H218"/>
  <c r="H217" s="1"/>
  <c r="H216" s="1"/>
  <c r="H186"/>
  <c r="G124"/>
  <c r="G217"/>
  <c r="G176"/>
  <c r="G136"/>
  <c r="G132" s="1"/>
  <c r="G94"/>
  <c r="G93" s="1"/>
  <c r="G92" s="1"/>
  <c r="H93"/>
  <c r="H92" s="1"/>
  <c r="H91" s="1"/>
  <c r="G38" i="4"/>
  <c r="H98" i="3"/>
  <c r="H244"/>
  <c r="G245"/>
  <c r="G244" s="1"/>
  <c r="G84"/>
  <c r="G98"/>
  <c r="H84"/>
  <c r="H85"/>
  <c r="B28" i="2"/>
  <c r="H183" i="3" l="1"/>
  <c r="H182" s="1"/>
  <c r="H169" s="1"/>
  <c r="G186"/>
  <c r="G183" s="1"/>
  <c r="H124"/>
  <c r="H123" s="1"/>
  <c r="H113" s="1"/>
  <c r="G90"/>
  <c r="G200"/>
  <c r="G216"/>
  <c r="F19" i="4"/>
  <c r="F18" s="1"/>
  <c r="G19"/>
  <c r="G18" s="1"/>
  <c r="H90" i="3"/>
  <c r="H24"/>
  <c r="G24"/>
  <c r="G23" s="1"/>
  <c r="G35" i="4"/>
  <c r="G34" s="1"/>
  <c r="G33" s="1"/>
  <c r="F35"/>
  <c r="F34" s="1"/>
  <c r="F33" s="1"/>
  <c r="H230" i="3"/>
  <c r="G230"/>
  <c r="H200"/>
  <c r="G123"/>
  <c r="G91"/>
  <c r="G5"/>
  <c r="F7" i="4" l="1"/>
  <c r="F208" s="1"/>
  <c r="H23" i="3"/>
  <c r="G182"/>
  <c r="G169" s="1"/>
  <c r="G113"/>
  <c r="G52" l="1"/>
  <c r="G50" s="1"/>
  <c r="G49" s="1"/>
  <c r="G38" s="1"/>
  <c r="G22" s="1"/>
  <c r="G21" l="1"/>
  <c r="G264" s="1"/>
  <c r="G14" i="4"/>
  <c r="G13" s="1"/>
  <c r="H13" i="3"/>
  <c r="H12" s="1"/>
  <c r="H11" s="1"/>
  <c r="H6" l="1"/>
  <c r="H5" s="1"/>
  <c r="G12" i="4"/>
  <c r="G67" l="1"/>
  <c r="H50" i="3"/>
  <c r="H49" s="1"/>
  <c r="H38" s="1"/>
  <c r="H22" s="1"/>
  <c r="H21" s="1"/>
  <c r="G66" i="4" l="1"/>
  <c r="G44" s="1"/>
  <c r="H264" i="3"/>
  <c r="G7" i="4" l="1"/>
  <c r="G208" s="1"/>
</calcChain>
</file>

<file path=xl/sharedStrings.xml><?xml version="1.0" encoding="utf-8"?>
<sst xmlns="http://schemas.openxmlformats.org/spreadsheetml/2006/main" count="2588" uniqueCount="278">
  <si>
    <t xml:space="preserve">к   Решению Совета  Черемшанского муниципального района № 65 от 16.12.2011 года  </t>
  </si>
  <si>
    <t>(тыс.руб.)</t>
  </si>
  <si>
    <t>Наименование СП</t>
  </si>
  <si>
    <t xml:space="preserve">Беркетключевское </t>
  </si>
  <si>
    <t>Верхнекаменское</t>
  </si>
  <si>
    <t>Ивашкинское</t>
  </si>
  <si>
    <t>Карамышевское</t>
  </si>
  <si>
    <t>Кутеминское</t>
  </si>
  <si>
    <t>Нижнекаменское</t>
  </si>
  <si>
    <t>Нижнекармалкинское</t>
  </si>
  <si>
    <t>Новокадеевское</t>
  </si>
  <si>
    <t>Старокадеевское</t>
  </si>
  <si>
    <t>Старокутушское</t>
  </si>
  <si>
    <t>Староутямышское</t>
  </si>
  <si>
    <t>Туйметкинское</t>
  </si>
  <si>
    <t>Ульяновское</t>
  </si>
  <si>
    <t>Черемшанское</t>
  </si>
  <si>
    <t>Шешминское</t>
  </si>
  <si>
    <t>Всего</t>
  </si>
  <si>
    <t>Председатель ФБП Черемшанского муниципального района</t>
  </si>
  <si>
    <t>Ш.Ф.Гатин</t>
  </si>
  <si>
    <t>Лашманское</t>
  </si>
  <si>
    <t>Новоильмовское</t>
  </si>
  <si>
    <t>Приложение 12</t>
  </si>
  <si>
    <t>в том числе поступления из средств поступивших от Республики Татарстан</t>
  </si>
  <si>
    <t xml:space="preserve">Лашманское </t>
  </si>
  <si>
    <t>Председатель</t>
  </si>
  <si>
    <t>ФБП Черемшанского муниципального района</t>
  </si>
  <si>
    <t>тыс.руб.</t>
  </si>
  <si>
    <t>Наименование</t>
  </si>
  <si>
    <t>Ведомство</t>
  </si>
  <si>
    <t>Рз</t>
  </si>
  <si>
    <t>ПР</t>
  </si>
  <si>
    <t>ЦСР</t>
  </si>
  <si>
    <t>ВР</t>
  </si>
  <si>
    <t xml:space="preserve">Совет Черемшанского мунципального района </t>
  </si>
  <si>
    <t>00</t>
  </si>
  <si>
    <t xml:space="preserve">000 00 00 </t>
  </si>
  <si>
    <t>000</t>
  </si>
  <si>
    <t>Общегосударственные вопросы</t>
  </si>
  <si>
    <t>01</t>
  </si>
  <si>
    <t>000 00 00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</si>
  <si>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</si>
  <si>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</si>
  <si>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</si>
  <si>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</si>
  <si>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002 03 00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</si>
  <si>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</si>
  <si>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</si>
  <si>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</si>
  <si>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</si>
  <si>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Центральный аппарат </t>
  </si>
  <si>
    <t>002 04 00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</si>
  <si>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</si>
  <si>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</si>
  <si>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</si>
  <si>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</si>
  <si>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Другие общегосударственные вопросы</t>
  </si>
  <si>
    <t>13</t>
  </si>
  <si>
    <t>Уплата налога на имущество организаций и земельного налога</t>
  </si>
  <si>
    <t>002 95 00</t>
  </si>
  <si>
    <t xml:space="preserve">Исполнительный комитет Черемшанского мунципального района </t>
  </si>
  <si>
    <t>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</si>
  <si>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</si>
  <si>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</si>
  <si>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Центральный аппарат</t>
  </si>
  <si>
    <t>Выполнение функций органами местного самоуправления</t>
  </si>
  <si>
    <t>Резервные фонды</t>
  </si>
  <si>
    <t>11</t>
  </si>
  <si>
    <t>070 00 00</t>
  </si>
  <si>
    <t>Реервные фонды органов местного самоуправления</t>
  </si>
  <si>
    <t>Резервные фонды местных администраций</t>
  </si>
  <si>
    <t>070 05 00</t>
  </si>
  <si>
    <t>Учреждения культуры и мероприятия в сфере культуры и кинематографии</t>
  </si>
  <si>
    <t>440 00 00</t>
  </si>
  <si>
    <t>Обеспечение деятельности подведомственных учреждений</t>
  </si>
  <si>
    <t>440 99 00</t>
  </si>
  <si>
    <t>Межбюджетные трансферты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</si>
  <si>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</si>
  <si>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образованию и организации деятельности административных комиссий</t>
  </si>
  <si>
    <t>Реализация государственных полномочий в области архивного дела</t>
  </si>
  <si>
    <t xml:space="preserve">Национальная оборона </t>
  </si>
  <si>
    <t>Осуществление первичного воинского учета на территориях, где отсутствуют военные комиссариаты</t>
  </si>
  <si>
    <t>500</t>
  </si>
  <si>
    <t xml:space="preserve">Охрана окружающей среды  </t>
  </si>
  <si>
    <t>06</t>
  </si>
  <si>
    <t>Охрана объектов растительного и животного мира и среды их обитания</t>
  </si>
  <si>
    <t>Охрана объектов растительного и животного мира и среды их обитания  состояние окружающей среды и природопользования</t>
  </si>
  <si>
    <t>410 00 00</t>
  </si>
  <si>
    <t>Природохранные мероприятия</t>
  </si>
  <si>
    <t>410 01 00</t>
  </si>
  <si>
    <t>Программа природохранных мероприятий муниципального района</t>
  </si>
  <si>
    <t>410 01 03</t>
  </si>
  <si>
    <t>Здравоохранение</t>
  </si>
  <si>
    <t>09</t>
  </si>
  <si>
    <t>Санитарно-эпидимеологическое благополучие</t>
  </si>
  <si>
    <t>07</t>
  </si>
  <si>
    <t xml:space="preserve">Контрольно-счетная палата Черемшанского муниципального района </t>
  </si>
  <si>
    <t>013</t>
  </si>
  <si>
    <t>Обеспечение деятельности финансовых,налоговых и таможенных органов и органов надзора</t>
  </si>
  <si>
    <t>Палата имущественных и земельных отношений Черемшанского мунципального района Республики Татарстан</t>
  </si>
  <si>
    <t>Муниципальное казенное учреждение "Управление гражданской защиты Черемшанского муниципального района"</t>
  </si>
  <si>
    <t>112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</si>
  <si>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</si>
  <si>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</si>
  <si>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</si>
  <si>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</si>
  <si>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</si>
  <si>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</si>
  <si>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Муниципальное учреждение"Отдел образования" Исполнительного комитета Черемшанского мунципального района Республики Татарстан"</t>
  </si>
  <si>
    <t>076</t>
  </si>
  <si>
    <t>Субвенции на реализацию государственных полномочий в области образования</t>
  </si>
  <si>
    <t>Образование</t>
  </si>
  <si>
    <t>Дошкольное образование</t>
  </si>
  <si>
    <t>Детские дошкольные учреждения</t>
  </si>
  <si>
    <t>420 00 00</t>
  </si>
  <si>
    <t>Обеспечение деятельсти подведомственных учреждений</t>
  </si>
  <si>
    <t>420 99 00</t>
  </si>
  <si>
    <t>Субсидии бюджетным учреждениям</t>
  </si>
  <si>
    <t>600</t>
  </si>
  <si>
    <t xml:space="preserve">Государственная программа «Управление государственными финансами Республики Татарстан на 2014 – 2016 годы»  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</si>
  <si>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</si>
  <si>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</si>
  <si>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 xml:space="preserve">Школы-детские сады, школы начальные, неполные средние и средние </t>
  </si>
  <si>
    <t>421 00 00</t>
  </si>
  <si>
    <t>421 99 00</t>
  </si>
  <si>
    <t>Учреждения по внешкольной работе с детьми</t>
  </si>
  <si>
    <t>423 00 00</t>
  </si>
  <si>
    <t>423 99 00</t>
  </si>
  <si>
    <t>Молодежная политика и оздоровление детей</t>
  </si>
  <si>
    <t>Мероприятия по проведению оздоровительной кампании детей</t>
  </si>
  <si>
    <t>432 00 00</t>
  </si>
  <si>
    <t>432 99 00</t>
  </si>
  <si>
    <t>Другие вопросы в области образования</t>
  </si>
  <si>
    <t>Учреждения, обеспечивающие предоставление услуг в сфере образования</t>
  </si>
  <si>
    <t>435 00 00</t>
  </si>
  <si>
    <t>435 99 00</t>
  </si>
  <si>
    <t>Мероприятия в области образования</t>
  </si>
  <si>
    <t>436 00 00</t>
  </si>
  <si>
    <t>Проведение мероприятий для детей и молодежи</t>
  </si>
  <si>
    <t>436 09 00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</si>
  <si>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</si>
  <si>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</si>
  <si>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</si>
  <si>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Социальная политика</t>
  </si>
  <si>
    <t>10</t>
  </si>
  <si>
    <t>Социальное обеспечение</t>
  </si>
  <si>
    <t>Оказание других видов социальной помощи</t>
  </si>
  <si>
    <t>505 85 00</t>
  </si>
  <si>
    <t>Муниципальное учреждение"Отдел культуры" Исполнительного комитета Черемшанского мунципального района Республики Татарстан"</t>
  </si>
  <si>
    <t>058</t>
  </si>
  <si>
    <t>Культура, кинематография и средства массовой информации</t>
  </si>
  <si>
    <t>08</t>
  </si>
  <si>
    <t xml:space="preserve">00 </t>
  </si>
  <si>
    <t>Культура</t>
  </si>
  <si>
    <t xml:space="preserve"> Учреждения культуры и мероприятия в сфере культуры и кинематографии    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</si>
  <si>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</si>
  <si>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</si>
  <si>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</si>
  <si>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</si>
  <si>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</si>
  <si>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</si>
  <si>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Другие вопросы в области культуры,кинематографии</t>
  </si>
  <si>
    <t xml:space="preserve">04 </t>
  </si>
  <si>
    <t>Муниципальное учреждение"Отдел по делам молодежи и спорта" Исполкома Черемшанского мунципального района Республики Татарстан</t>
  </si>
  <si>
    <t>169</t>
  </si>
  <si>
    <t>Субвенции на реализацию государственных полномочий в области государственной молодежной политики</t>
  </si>
  <si>
    <t>002 99 00</t>
  </si>
  <si>
    <t>Массовый спорт</t>
  </si>
  <si>
    <t>Мероприятия в области физкультуры культуры и спорта</t>
  </si>
  <si>
    <t>512 97 00</t>
  </si>
  <si>
    <t>Финансово-бюджетная палата</t>
  </si>
  <si>
    <t>Выполнение других обязательств государства</t>
  </si>
  <si>
    <t>092 03 00</t>
  </si>
  <si>
    <t>Межбюджетные трансферты бюджетам субъектов РФ и  муниципальных образований общего характера</t>
  </si>
  <si>
    <t>14</t>
  </si>
  <si>
    <t>Дотации на выравнивание бюджетной обеспеченности муниципальных образований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</si>
  <si>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</si>
  <si>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</si>
  <si>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</si>
  <si>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</si>
  <si>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516 01 30</t>
  </si>
  <si>
    <t>Фонд финансовой поддержки</t>
  </si>
  <si>
    <t>008</t>
  </si>
  <si>
    <t>Иные дотации</t>
  </si>
  <si>
    <t>Дотации</t>
  </si>
  <si>
    <t>517 00 00</t>
  </si>
  <si>
    <t>Поддержка мер по обеспечению сбалансированности бюджетов</t>
  </si>
  <si>
    <t>517 02 00</t>
  </si>
  <si>
    <t>Прочие дотации</t>
  </si>
  <si>
    <t>2016</t>
  </si>
  <si>
    <t xml:space="preserve">к  Решению Совета  Черемшанского муниципального района № 65 от 16.12.2011 года </t>
  </si>
  <si>
    <t>Cубсидии бюджетным учреждениям</t>
  </si>
  <si>
    <t>165</t>
  </si>
  <si>
    <t>Условно утвержденные расходы</t>
  </si>
  <si>
    <t>99</t>
  </si>
  <si>
    <t>999 00 00</t>
  </si>
  <si>
    <t>Национальная экономика</t>
  </si>
  <si>
    <t>Сельское хозяйство и рыболовство</t>
  </si>
  <si>
    <t>05</t>
  </si>
  <si>
    <t>Госполномочия в сфере организаций проведения мероприятий по предупреждению и ликвидации болезней животных , их лечению, защите населения от болезней, общих для человека и животных</t>
  </si>
  <si>
    <t xml:space="preserve">05 </t>
  </si>
  <si>
    <t>Дорожное хозяйство (дорожные фонды)</t>
  </si>
  <si>
    <t>Дорожное хозяйство</t>
  </si>
  <si>
    <t>315 00 00</t>
  </si>
  <si>
    <t>Программа дорожных работ</t>
  </si>
  <si>
    <t>315 05 00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</si>
  <si>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</si>
  <si>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Охрана семьи и детства</t>
  </si>
  <si>
    <t>Предоставление мер социальной поддержки гражданам, имеющим детей, посещающих образовательные организации, реализующие образовательную программу дошкольного образования"</t>
  </si>
  <si>
    <t>520 10 10</t>
  </si>
  <si>
    <t>Социальное обеспечение и иные выплаты населению</t>
  </si>
  <si>
    <t>300</t>
  </si>
  <si>
    <t xml:space="preserve">Государственная регистрация актов гражданского состояния </t>
  </si>
  <si>
    <t>Проведение Всероссийской сельхозяйственной переписи в 2016 году</t>
  </si>
  <si>
    <t>001 20 20</t>
  </si>
  <si>
    <t>Судебная система</t>
  </si>
  <si>
    <t>Составление (изменение) списоков кандидатов в присяжные заседатели судов общей юрисдикции в Российской Федерации</t>
  </si>
  <si>
    <t>516 80 06</t>
  </si>
  <si>
    <t>516 80 04</t>
  </si>
  <si>
    <t>Выравнивание бюджетной обеспеченности и предоставление иных межбюджетных трансфертов бюджетам поселений</t>
  </si>
  <si>
    <t>516 80 00</t>
  </si>
  <si>
    <t>Мордовско-Афонькинское</t>
  </si>
  <si>
    <t>2017</t>
  </si>
  <si>
    <t>Ведомственная   структура расходов  районного бюджета Черемшанского муниципального района  на плановый период 2016 и 2017 годов</t>
  </si>
  <si>
    <t>423 99 10</t>
  </si>
  <si>
    <t>Образовательные учреждения дополнительного образования детей туристко-краеведческой ,эколого-биологической,военно-патриотической социально-педагогической ,социально-экономической ,естественно-научной,технической и культурологической направленности и многопрофильные образовательные учреждения дополнительного образования детей</t>
  </si>
  <si>
    <t>423 99 20</t>
  </si>
  <si>
    <t>Образовательные учреждения дополнительного образования детей художественно-эстетической направленности</t>
  </si>
  <si>
    <t>517 80 04</t>
  </si>
  <si>
    <t xml:space="preserve">14 </t>
  </si>
  <si>
    <t xml:space="preserve">02 </t>
  </si>
  <si>
    <t>423 99 30</t>
  </si>
  <si>
    <t>Детско-юношеские спортивные школы(ДЮСШ,ДЮКФП),специализированные детско-юношеские школы олимпийского резерва(СДЮСШОР),школы высшего спортивного мастерства</t>
  </si>
  <si>
    <t>Физическая культура и спорт</t>
  </si>
  <si>
    <t>Дотации бюджетам поселений на выравнивание уровня бюджетной обеспеченности поселений на  плановый период 2016-2017 годов</t>
  </si>
  <si>
    <t>Дотации бюджетам поселений на поддержку мер по обеспечению сбалансированности бюджетов на  плановый период 2016-2017 годов</t>
  </si>
  <si>
    <t>Распределение бюджетных ассигнований по разделам и подразделам,целевым статьям и видам расходов классификации расходов районного бюджета на плановый период 2016-2017 годы</t>
  </si>
  <si>
    <t>Беркетключевское</t>
  </si>
  <si>
    <t>Непрограммные направления расходов</t>
  </si>
  <si>
    <t>990 51 18</t>
  </si>
  <si>
    <t>990 00 00</t>
  </si>
  <si>
    <t>990 25 25</t>
  </si>
  <si>
    <t>990 25 24</t>
  </si>
  <si>
    <t>990 59 30</t>
  </si>
  <si>
    <t>990 25 26</t>
  </si>
  <si>
    <t>990 25 27</t>
  </si>
  <si>
    <t>Государственная программа «Социальная поддержка граждан Республики Татарстан» на 2014 – 2020 годы</t>
  </si>
  <si>
    <t>030 00 00</t>
  </si>
  <si>
    <t>035 25 33</t>
  </si>
  <si>
    <t>Реализация государственных полномочий в области опеки и попечительства</t>
  </si>
  <si>
    <t xml:space="preserve">990 25 34 </t>
  </si>
  <si>
    <t>990 25 35</t>
  </si>
  <si>
    <t>990 25 36</t>
  </si>
  <si>
    <t>Государственная программа «Развитие образования и науки Республики Татарстан на 2014 – 2020 годы»</t>
  </si>
  <si>
    <t>020 00 00</t>
  </si>
  <si>
    <t>021 25 37</t>
  </si>
  <si>
    <t>Подпрограмма «Развитие дошкольного образования, включая инклюзивное, и повышение квалификации работников данной сферы на 2014 - 2020 годы»</t>
  </si>
  <si>
    <t>021 00 00</t>
  </si>
  <si>
    <t>022 00 00</t>
  </si>
  <si>
    <t>022 25 28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</si>
  <si>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 обеспечение дополнительного образования детей в муниципальных общеобразовательных организациях</t>
  </si>
  <si>
    <t>Подпрограмма «Развитие общего образования, включая инклюзивное, и повышение квалификации работников данной сферы на 2014 – 2020 годы»</t>
  </si>
  <si>
    <t>022 25 30</t>
  </si>
  <si>
    <t>Реализация государственных полномочий в области образования</t>
  </si>
  <si>
    <t>990 51 20</t>
  </si>
  <si>
    <t>Государственная программа «Развитие здравоохранения Республики Татарстан до 2020 года»</t>
  </si>
  <si>
    <t>010 00 00</t>
  </si>
  <si>
    <t>Подпрограмма «Профилактика заболеваний и формирование здорового образа жизни.  Развитие первичной медико-санитарной помощи»</t>
  </si>
  <si>
    <t>011 00 00</t>
  </si>
  <si>
    <t>011 02 11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</si>
  <si>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</si>
  <si>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Приложение   № 12</t>
  </si>
  <si>
    <t>Приложение   № 10</t>
  </si>
  <si>
    <t>Приложение  № 8</t>
  </si>
  <si>
    <t>Приложение № 14</t>
  </si>
  <si>
    <t>Комплектование книжных фондов библиотек муниципальных образований</t>
  </si>
  <si>
    <t>083 51 44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</si>
</sst>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Arial Cyr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/>
    <xf numFmtId="0" fontId="1" fillId="0" borderId="0" xfId="0" applyFont="1" applyBorder="1"/>
    <xf numFmtId="4" fontId="1" fillId="0" borderId="0" xfId="0" applyNumberFormat="1" applyFont="1"/>
    <xf numFmtId="4" fontId="2" fillId="0" borderId="0" xfId="0" applyNumberFormat="1" applyFont="1"/>
    <xf numFmtId="4" fontId="1" fillId="0" borderId="0" xfId="0" applyNumberFormat="1" applyFont="1" applyBorder="1"/>
    <xf numFmtId="0" fontId="1" fillId="0" borderId="0" xfId="0" applyFont="1" applyAlignment="1">
      <alignment vertical="top" wrapText="1"/>
    </xf>
    <xf numFmtId="49" fontId="1" fillId="0" borderId="0" xfId="0" applyNumberFormat="1" applyFont="1"/>
    <xf numFmtId="0" fontId="1" fillId="0" borderId="0" xfId="0" applyFont="1"/>
    <xf numFmtId="0" fontId="0" fillId="0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4" fontId="0" fillId="0" borderId="0" xfId="0" applyNumberForma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0" fillId="3" borderId="0" xfId="0" applyFill="1"/>
    <xf numFmtId="49" fontId="3" fillId="0" borderId="13" xfId="0" applyNumberFormat="1" applyFont="1" applyFill="1" applyBorder="1"/>
    <xf numFmtId="49" fontId="3" fillId="0" borderId="13" xfId="0" applyNumberFormat="1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wrapText="1"/>
    </xf>
    <xf numFmtId="49" fontId="4" fillId="0" borderId="13" xfId="0" applyNumberFormat="1" applyFont="1" applyFill="1" applyBorder="1"/>
    <xf numFmtId="49" fontId="4" fillId="0" borderId="13" xfId="0" applyNumberFormat="1" applyFont="1" applyFill="1" applyBorder="1" applyAlignment="1">
      <alignment horizontal="left"/>
    </xf>
    <xf numFmtId="4" fontId="4" fillId="0" borderId="13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wrapText="1"/>
    </xf>
    <xf numFmtId="49" fontId="5" fillId="0" borderId="13" xfId="0" applyNumberFormat="1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left"/>
    </xf>
    <xf numFmtId="49" fontId="5" fillId="0" borderId="13" xfId="0" applyNumberFormat="1" applyFont="1" applyFill="1" applyBorder="1"/>
    <xf numFmtId="49" fontId="3" fillId="3" borderId="13" xfId="0" applyNumberFormat="1" applyFont="1" applyFill="1" applyBorder="1"/>
    <xf numFmtId="49" fontId="6" fillId="0" borderId="13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wrapText="1"/>
    </xf>
    <xf numFmtId="49" fontId="6" fillId="0" borderId="13" xfId="0" applyNumberFormat="1" applyFont="1" applyFill="1" applyBorder="1"/>
    <xf numFmtId="4" fontId="4" fillId="0" borderId="13" xfId="0" applyNumberFormat="1" applyFont="1" applyFill="1" applyBorder="1"/>
    <xf numFmtId="49" fontId="6" fillId="4" borderId="13" xfId="0" applyNumberFormat="1" applyFont="1" applyFill="1" applyBorder="1" applyAlignment="1">
      <alignment wrapText="1"/>
    </xf>
    <xf numFmtId="49" fontId="6" fillId="4" borderId="13" xfId="0" applyNumberFormat="1" applyFont="1" applyFill="1" applyBorder="1"/>
    <xf numFmtId="49" fontId="6" fillId="4" borderId="13" xfId="0" applyNumberFormat="1" applyFont="1" applyFill="1" applyBorder="1" applyAlignment="1">
      <alignment horizontal="left"/>
    </xf>
    <xf numFmtId="49" fontId="6" fillId="4" borderId="13" xfId="0" applyNumberFormat="1" applyFont="1" applyFill="1" applyBorder="1" applyAlignment="1"/>
    <xf numFmtId="4" fontId="3" fillId="0" borderId="13" xfId="0" applyNumberFormat="1" applyFont="1" applyFill="1" applyBorder="1"/>
    <xf numFmtId="49" fontId="3" fillId="0" borderId="13" xfId="0" applyNumberFormat="1" applyFont="1" applyFill="1" applyBorder="1" applyAlignment="1">
      <alignment horizontal="right" wrapText="1"/>
    </xf>
    <xf numFmtId="49" fontId="3" fillId="3" borderId="13" xfId="0" applyNumberFormat="1" applyFont="1" applyFill="1" applyBorder="1" applyAlignment="1">
      <alignment horizontal="right" wrapText="1"/>
    </xf>
    <xf numFmtId="0" fontId="6" fillId="0" borderId="9" xfId="0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 wrapText="1"/>
    </xf>
    <xf numFmtId="49" fontId="6" fillId="2" borderId="10" xfId="0" applyNumberFormat="1" applyFont="1" applyFill="1" applyBorder="1" applyAlignment="1">
      <alignment horizontal="right" wrapText="1"/>
    </xf>
    <xf numFmtId="49" fontId="6" fillId="2" borderId="10" xfId="0" applyNumberFormat="1" applyFont="1" applyFill="1" applyBorder="1" applyAlignment="1">
      <alignment wrapText="1"/>
    </xf>
    <xf numFmtId="0" fontId="6" fillId="3" borderId="12" xfId="0" applyFont="1" applyFill="1" applyBorder="1" applyAlignment="1">
      <alignment wrapText="1"/>
    </xf>
    <xf numFmtId="49" fontId="6" fillId="3" borderId="13" xfId="0" applyNumberFormat="1" applyFont="1" applyFill="1" applyBorder="1" applyAlignment="1">
      <alignment horizontal="left"/>
    </xf>
    <xf numFmtId="49" fontId="6" fillId="2" borderId="13" xfId="0" applyNumberFormat="1" applyFont="1" applyFill="1" applyBorder="1"/>
    <xf numFmtId="49" fontId="6" fillId="2" borderId="13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right" wrapText="1"/>
    </xf>
    <xf numFmtId="4" fontId="6" fillId="4" borderId="13" xfId="0" applyNumberFormat="1" applyFont="1" applyFill="1" applyBorder="1"/>
    <xf numFmtId="49" fontId="6" fillId="2" borderId="13" xfId="0" applyNumberFormat="1" applyFont="1" applyFill="1" applyBorder="1" applyAlignment="1">
      <alignment horizontal="right" wrapText="1"/>
    </xf>
    <xf numFmtId="49" fontId="4" fillId="0" borderId="13" xfId="0" applyNumberFormat="1" applyFont="1" applyFill="1" applyBorder="1" applyAlignment="1">
      <alignment horizontal="right" wrapText="1"/>
    </xf>
    <xf numFmtId="49" fontId="4" fillId="0" borderId="13" xfId="0" applyNumberFormat="1" applyFont="1" applyBorder="1" applyAlignment="1">
      <alignment horizontal="right" wrapText="1"/>
    </xf>
    <xf numFmtId="49" fontId="6" fillId="4" borderId="13" xfId="0" applyNumberFormat="1" applyFont="1" applyFill="1" applyBorder="1" applyAlignment="1">
      <alignment horizontal="right" wrapText="1"/>
    </xf>
    <xf numFmtId="4" fontId="6" fillId="0" borderId="13" xfId="0" applyNumberFormat="1" applyFont="1" applyFill="1" applyBorder="1"/>
    <xf numFmtId="49" fontId="6" fillId="3" borderId="13" xfId="0" applyNumberFormat="1" applyFont="1" applyFill="1" applyBorder="1" applyAlignment="1">
      <alignment horizontal="right" wrapText="1"/>
    </xf>
    <xf numFmtId="49" fontId="6" fillId="2" borderId="13" xfId="0" applyNumberFormat="1" applyFont="1" applyFill="1" applyBorder="1" applyAlignment="1"/>
    <xf numFmtId="49" fontId="6" fillId="0" borderId="13" xfId="0" applyNumberFormat="1" applyFont="1" applyBorder="1" applyAlignment="1">
      <alignment horizontal="right" wrapText="1"/>
    </xf>
    <xf numFmtId="4" fontId="4" fillId="0" borderId="13" xfId="0" applyNumberFormat="1" applyFont="1" applyFill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49" fontId="6" fillId="2" borderId="13" xfId="0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4" fontId="3" fillId="3" borderId="13" xfId="0" applyNumberFormat="1" applyFont="1" applyFill="1" applyBorder="1"/>
    <xf numFmtId="4" fontId="3" fillId="0" borderId="0" xfId="0" applyNumberFormat="1" applyFont="1" applyFill="1" applyBorder="1" applyAlignment="1">
      <alignment wrapText="1"/>
    </xf>
    <xf numFmtId="0" fontId="3" fillId="0" borderId="0" xfId="0" applyFont="1"/>
    <xf numFmtId="49" fontId="6" fillId="5" borderId="13" xfId="0" applyNumberFormat="1" applyFont="1" applyFill="1" applyBorder="1" applyAlignment="1">
      <alignment wrapText="1"/>
    </xf>
    <xf numFmtId="49" fontId="6" fillId="5" borderId="13" xfId="0" applyNumberFormat="1" applyFont="1" applyFill="1" applyBorder="1"/>
    <xf numFmtId="49" fontId="5" fillId="5" borderId="13" xfId="0" applyNumberFormat="1" applyFont="1" applyFill="1" applyBorder="1" applyAlignment="1">
      <alignment horizontal="right" wrapText="1"/>
    </xf>
    <xf numFmtId="4" fontId="5" fillId="5" borderId="13" xfId="0" applyNumberFormat="1" applyFont="1" applyFill="1" applyBorder="1" applyAlignment="1">
      <alignment wrapText="1"/>
    </xf>
    <xf numFmtId="49" fontId="5" fillId="3" borderId="13" xfId="0" applyNumberFormat="1" applyFont="1" applyFill="1" applyBorder="1" applyAlignment="1">
      <alignment horizontal="right" wrapText="1"/>
    </xf>
    <xf numFmtId="49" fontId="6" fillId="3" borderId="13" xfId="0" applyNumberFormat="1" applyFont="1" applyFill="1" applyBorder="1"/>
    <xf numFmtId="49" fontId="6" fillId="5" borderId="13" xfId="0" applyNumberFormat="1" applyFont="1" applyFill="1" applyBorder="1" applyAlignment="1">
      <alignment horizontal="right" wrapText="1"/>
    </xf>
    <xf numFmtId="49" fontId="3" fillId="0" borderId="13" xfId="0" applyNumberFormat="1" applyFont="1" applyBorder="1" applyAlignment="1">
      <alignment horizontal="right" wrapText="1"/>
    </xf>
    <xf numFmtId="4" fontId="6" fillId="5" borderId="13" xfId="0" applyNumberFormat="1" applyFont="1" applyFill="1" applyBorder="1"/>
    <xf numFmtId="49" fontId="6" fillId="5" borderId="13" xfId="0" applyNumberFormat="1" applyFont="1" applyFill="1" applyBorder="1" applyAlignment="1">
      <alignment horizontal="left"/>
    </xf>
    <xf numFmtId="49" fontId="6" fillId="5" borderId="13" xfId="0" applyNumberFormat="1" applyFont="1" applyFill="1" applyBorder="1" applyAlignment="1"/>
    <xf numFmtId="4" fontId="6" fillId="5" borderId="13" xfId="0" applyNumberFormat="1" applyFont="1" applyFill="1" applyBorder="1" applyAlignment="1"/>
    <xf numFmtId="49" fontId="3" fillId="0" borderId="14" xfId="0" applyNumberFormat="1" applyFont="1" applyFill="1" applyBorder="1"/>
    <xf numFmtId="49" fontId="3" fillId="0" borderId="14" xfId="0" applyNumberFormat="1" applyFont="1" applyFill="1" applyBorder="1" applyAlignment="1">
      <alignment wrapText="1"/>
    </xf>
    <xf numFmtId="49" fontId="6" fillId="5" borderId="10" xfId="0" applyNumberFormat="1" applyFont="1" applyFill="1" applyBorder="1" applyAlignment="1">
      <alignment horizontal="left"/>
    </xf>
    <xf numFmtId="49" fontId="6" fillId="5" borderId="10" xfId="0" applyNumberFormat="1" applyFont="1" applyFill="1" applyBorder="1"/>
    <xf numFmtId="4" fontId="6" fillId="5" borderId="1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vertical="top" wrapText="1"/>
    </xf>
    <xf numFmtId="0" fontId="6" fillId="2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4" fillId="0" borderId="12" xfId="0" applyFont="1" applyFill="1" applyBorder="1"/>
    <xf numFmtId="0" fontId="6" fillId="0" borderId="12" xfId="0" applyFont="1" applyFill="1" applyBorder="1" applyAlignment="1">
      <alignment vertical="top" wrapText="1"/>
    </xf>
    <xf numFmtId="0" fontId="4" fillId="0" borderId="12" xfId="0" applyFont="1" applyBorder="1" applyAlignment="1">
      <alignment horizontal="justify" wrapText="1"/>
    </xf>
    <xf numFmtId="0" fontId="6" fillId="2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6" fillId="5" borderId="12" xfId="0" applyFont="1" applyFill="1" applyBorder="1" applyAlignment="1">
      <alignment vertical="top" wrapText="1"/>
    </xf>
    <xf numFmtId="0" fontId="6" fillId="4" borderId="12" xfId="0" applyFont="1" applyFill="1" applyBorder="1" applyAlignment="1">
      <alignment wrapText="1"/>
    </xf>
    <xf numFmtId="49" fontId="3" fillId="0" borderId="12" xfId="0" applyNumberFormat="1" applyFont="1" applyBorder="1" applyAlignment="1">
      <alignment wrapText="1"/>
    </xf>
    <xf numFmtId="0" fontId="6" fillId="2" borderId="12" xfId="0" applyFont="1" applyFill="1" applyBorder="1" applyAlignment="1">
      <alignment wrapText="1"/>
    </xf>
    <xf numFmtId="0" fontId="6" fillId="4" borderId="12" xfId="0" applyFont="1" applyFill="1" applyBorder="1" applyAlignment="1">
      <alignment horizontal="left" wrapText="1"/>
    </xf>
    <xf numFmtId="0" fontId="6" fillId="4" borderId="12" xfId="0" applyFont="1" applyFill="1" applyBorder="1" applyAlignment="1">
      <alignment vertical="top" wrapText="1"/>
    </xf>
    <xf numFmtId="0" fontId="6" fillId="0" borderId="12" xfId="0" applyFont="1" applyFill="1" applyBorder="1"/>
    <xf numFmtId="0" fontId="3" fillId="0" borderId="12" xfId="0" applyFont="1" applyFill="1" applyBorder="1"/>
    <xf numFmtId="0" fontId="3" fillId="3" borderId="12" xfId="0" applyFont="1" applyFill="1" applyBorder="1" applyAlignment="1">
      <alignment vertical="top" wrapText="1"/>
    </xf>
    <xf numFmtId="4" fontId="3" fillId="0" borderId="15" xfId="0" applyNumberFormat="1" applyFont="1" applyFill="1" applyBorder="1"/>
    <xf numFmtId="0" fontId="6" fillId="0" borderId="12" xfId="0" applyFont="1" applyFill="1" applyBorder="1" applyAlignment="1">
      <alignment vertical="top"/>
    </xf>
    <xf numFmtId="2" fontId="6" fillId="0" borderId="15" xfId="0" applyNumberFormat="1" applyFont="1" applyFill="1" applyBorder="1"/>
    <xf numFmtId="2" fontId="6" fillId="0" borderId="13" xfId="0" applyNumberFormat="1" applyFont="1" applyFill="1" applyBorder="1"/>
    <xf numFmtId="4" fontId="6" fillId="0" borderId="13" xfId="0" applyNumberFormat="1" applyFont="1" applyFill="1" applyBorder="1" applyAlignment="1">
      <alignment wrapText="1"/>
    </xf>
    <xf numFmtId="4" fontId="6" fillId="2" borderId="13" xfId="0" applyNumberFormat="1" applyFont="1" applyFill="1" applyBorder="1" applyAlignment="1">
      <alignment wrapText="1"/>
    </xf>
    <xf numFmtId="4" fontId="6" fillId="3" borderId="13" xfId="0" applyNumberFormat="1" applyFont="1" applyFill="1" applyBorder="1" applyAlignment="1">
      <alignment horizontal="right" wrapText="1"/>
    </xf>
    <xf numFmtId="4" fontId="4" fillId="3" borderId="13" xfId="0" applyNumberFormat="1" applyFont="1" applyFill="1" applyBorder="1" applyAlignment="1">
      <alignment horizontal="right" wrapText="1"/>
    </xf>
    <xf numFmtId="4" fontId="6" fillId="0" borderId="13" xfId="0" applyNumberFormat="1" applyFont="1" applyFill="1" applyBorder="1" applyAlignment="1">
      <alignment horizontal="right" wrapText="1"/>
    </xf>
    <xf numFmtId="4" fontId="4" fillId="0" borderId="13" xfId="0" applyNumberFormat="1" applyFont="1" applyFill="1" applyBorder="1" applyAlignment="1">
      <alignment horizontal="right" wrapText="1"/>
    </xf>
    <xf numFmtId="4" fontId="6" fillId="5" borderId="13" xfId="0" applyNumberFormat="1" applyFont="1" applyFill="1" applyBorder="1" applyAlignment="1">
      <alignment wrapText="1"/>
    </xf>
    <xf numFmtId="4" fontId="6" fillId="4" borderId="13" xfId="0" applyNumberFormat="1" applyFont="1" applyFill="1" applyBorder="1" applyAlignment="1">
      <alignment wrapText="1"/>
    </xf>
    <xf numFmtId="4" fontId="6" fillId="2" borderId="13" xfId="0" applyNumberFormat="1" applyFont="1" applyFill="1" applyBorder="1" applyAlignment="1">
      <alignment horizontal="right" wrapText="1"/>
    </xf>
    <xf numFmtId="4" fontId="6" fillId="4" borderId="13" xfId="0" applyNumberFormat="1" applyFont="1" applyFill="1" applyBorder="1" applyAlignment="1">
      <alignment horizontal="right" wrapText="1"/>
    </xf>
    <xf numFmtId="4" fontId="3" fillId="3" borderId="13" xfId="0" applyNumberFormat="1" applyFont="1" applyFill="1" applyBorder="1" applyAlignment="1">
      <alignment wrapText="1"/>
    </xf>
    <xf numFmtId="4" fontId="6" fillId="2" borderId="10" xfId="0" applyNumberFormat="1" applyFont="1" applyFill="1" applyBorder="1" applyAlignment="1">
      <alignment wrapText="1"/>
    </xf>
    <xf numFmtId="0" fontId="3" fillId="0" borderId="16" xfId="0" applyFont="1" applyFill="1" applyBorder="1" applyAlignment="1">
      <alignment vertical="top" wrapText="1"/>
    </xf>
    <xf numFmtId="49" fontId="3" fillId="0" borderId="14" xfId="0" applyNumberFormat="1" applyFont="1" applyFill="1" applyBorder="1" applyAlignment="1">
      <alignment horizontal="right" wrapText="1"/>
    </xf>
    <xf numFmtId="4" fontId="3" fillId="0" borderId="14" xfId="0" applyNumberFormat="1" applyFont="1" applyFill="1" applyBorder="1" applyAlignment="1">
      <alignment wrapText="1"/>
    </xf>
    <xf numFmtId="49" fontId="6" fillId="2" borderId="9" xfId="0" applyNumberFormat="1" applyFont="1" applyFill="1" applyBorder="1" applyAlignment="1">
      <alignment horizontal="right" wrapText="1"/>
    </xf>
    <xf numFmtId="0" fontId="6" fillId="2" borderId="9" xfId="0" applyFont="1" applyFill="1" applyBorder="1"/>
    <xf numFmtId="4" fontId="6" fillId="2" borderId="8" xfId="0" applyNumberFormat="1" applyFont="1" applyFill="1" applyBorder="1" applyAlignment="1">
      <alignment horizontal="right" wrapText="1"/>
    </xf>
    <xf numFmtId="49" fontId="4" fillId="5" borderId="13" xfId="0" applyNumberFormat="1" applyFont="1" applyFill="1" applyBorder="1" applyAlignment="1">
      <alignment horizontal="right" wrapText="1"/>
    </xf>
    <xf numFmtId="0" fontId="6" fillId="6" borderId="12" xfId="0" applyFont="1" applyFill="1" applyBorder="1" applyAlignment="1">
      <alignment vertical="top" wrapText="1"/>
    </xf>
    <xf numFmtId="49" fontId="6" fillId="6" borderId="13" xfId="0" applyNumberFormat="1" applyFont="1" applyFill="1" applyBorder="1" applyAlignment="1">
      <alignment horizontal="right" wrapText="1"/>
    </xf>
    <xf numFmtId="49" fontId="6" fillId="6" borderId="13" xfId="0" applyNumberFormat="1" applyFont="1" applyFill="1" applyBorder="1" applyAlignment="1">
      <alignment wrapText="1"/>
    </xf>
    <xf numFmtId="49" fontId="6" fillId="6" borderId="13" xfId="0" applyNumberFormat="1" applyFont="1" applyFill="1" applyBorder="1"/>
    <xf numFmtId="4" fontId="6" fillId="6" borderId="13" xfId="0" applyNumberFormat="1" applyFont="1" applyFill="1" applyBorder="1"/>
    <xf numFmtId="0" fontId="6" fillId="0" borderId="12" xfId="0" applyFont="1" applyBorder="1" applyAlignment="1">
      <alignment wrapText="1"/>
    </xf>
    <xf numFmtId="4" fontId="6" fillId="0" borderId="15" xfId="0" applyNumberFormat="1" applyFont="1" applyFill="1" applyBorder="1"/>
    <xf numFmtId="4" fontId="4" fillId="0" borderId="15" xfId="0" applyNumberFormat="1" applyFont="1" applyFill="1" applyBorder="1"/>
    <xf numFmtId="2" fontId="4" fillId="0" borderId="15" xfId="0" applyNumberFormat="1" applyFont="1" applyFill="1" applyBorder="1"/>
    <xf numFmtId="0" fontId="6" fillId="2" borderId="17" xfId="0" applyFont="1" applyFill="1" applyBorder="1" applyAlignment="1">
      <alignment vertical="top"/>
    </xf>
    <xf numFmtId="0" fontId="4" fillId="0" borderId="12" xfId="0" applyNumberFormat="1" applyFont="1" applyBorder="1" applyAlignment="1">
      <alignment wrapText="1"/>
    </xf>
    <xf numFmtId="0" fontId="8" fillId="0" borderId="12" xfId="0" applyFont="1" applyFill="1" applyBorder="1" applyAlignment="1">
      <alignment vertical="top" wrapText="1"/>
    </xf>
    <xf numFmtId="0" fontId="7" fillId="3" borderId="12" xfId="0" applyFont="1" applyFill="1" applyBorder="1" applyAlignment="1">
      <alignment horizontal="left" wrapText="1"/>
    </xf>
    <xf numFmtId="49" fontId="5" fillId="4" borderId="13" xfId="0" applyNumberFormat="1" applyFont="1" applyFill="1" applyBorder="1" applyAlignment="1">
      <alignment horizontal="right" wrapText="1"/>
    </xf>
    <xf numFmtId="49" fontId="5" fillId="4" borderId="13" xfId="0" applyNumberFormat="1" applyFont="1" applyFill="1" applyBorder="1"/>
    <xf numFmtId="49" fontId="7" fillId="3" borderId="13" xfId="0" applyNumberFormat="1" applyFont="1" applyFill="1" applyBorder="1" applyAlignment="1">
      <alignment horizontal="right" wrapText="1"/>
    </xf>
    <xf numFmtId="4" fontId="6" fillId="3" borderId="13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" fontId="6" fillId="3" borderId="15" xfId="0" applyNumberFormat="1" applyFont="1" applyFill="1" applyBorder="1" applyAlignment="1">
      <alignment horizontal="right" wrapText="1"/>
    </xf>
    <xf numFmtId="4" fontId="4" fillId="3" borderId="15" xfId="0" applyNumberFormat="1" applyFont="1" applyFill="1" applyBorder="1" applyAlignment="1">
      <alignment horizontal="right" wrapText="1"/>
    </xf>
    <xf numFmtId="4" fontId="4" fillId="0" borderId="15" xfId="0" applyNumberFormat="1" applyFont="1" applyFill="1" applyBorder="1" applyAlignment="1">
      <alignment wrapText="1"/>
    </xf>
    <xf numFmtId="4" fontId="6" fillId="0" borderId="15" xfId="0" applyNumberFormat="1" applyFont="1" applyFill="1" applyBorder="1" applyAlignment="1">
      <alignment wrapText="1"/>
    </xf>
    <xf numFmtId="0" fontId="6" fillId="5" borderId="11" xfId="0" applyFont="1" applyFill="1" applyBorder="1" applyAlignment="1">
      <alignment wrapText="1"/>
    </xf>
    <xf numFmtId="4" fontId="6" fillId="5" borderId="18" xfId="0" applyNumberFormat="1" applyFont="1" applyFill="1" applyBorder="1" applyAlignment="1">
      <alignment horizontal="right"/>
    </xf>
    <xf numFmtId="4" fontId="6" fillId="0" borderId="15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6" fillId="5" borderId="15" xfId="0" applyNumberFormat="1" applyFont="1" applyFill="1" applyBorder="1"/>
    <xf numFmtId="0" fontId="6" fillId="5" borderId="12" xfId="0" applyFont="1" applyFill="1" applyBorder="1" applyAlignment="1">
      <alignment horizontal="left" wrapText="1"/>
    </xf>
    <xf numFmtId="4" fontId="6" fillId="6" borderId="15" xfId="0" applyNumberFormat="1" applyFont="1" applyFill="1" applyBorder="1"/>
    <xf numFmtId="0" fontId="6" fillId="5" borderId="12" xfId="0" applyFont="1" applyFill="1" applyBorder="1" applyAlignment="1">
      <alignment wrapText="1"/>
    </xf>
    <xf numFmtId="4" fontId="6" fillId="5" borderId="15" xfId="0" applyNumberFormat="1" applyFont="1" applyFill="1" applyBorder="1" applyAlignment="1"/>
    <xf numFmtId="4" fontId="3" fillId="3" borderId="15" xfId="0" applyNumberFormat="1" applyFont="1" applyFill="1" applyBorder="1"/>
    <xf numFmtId="0" fontId="7" fillId="4" borderId="12" xfId="0" applyFont="1" applyFill="1" applyBorder="1" applyAlignment="1">
      <alignment horizontal="left" wrapText="1"/>
    </xf>
    <xf numFmtId="4" fontId="6" fillId="4" borderId="15" xfId="0" applyNumberFormat="1" applyFont="1" applyFill="1" applyBorder="1"/>
    <xf numFmtId="4" fontId="6" fillId="4" borderId="15" xfId="0" applyNumberFormat="1" applyFont="1" applyFill="1" applyBorder="1" applyAlignment="1">
      <alignment wrapText="1"/>
    </xf>
    <xf numFmtId="4" fontId="3" fillId="0" borderId="15" xfId="0" applyNumberFormat="1" applyFont="1" applyFill="1" applyBorder="1" applyAlignment="1">
      <alignment wrapText="1"/>
    </xf>
    <xf numFmtId="4" fontId="5" fillId="5" borderId="15" xfId="0" applyNumberFormat="1" applyFont="1" applyFill="1" applyBorder="1" applyAlignment="1">
      <alignment wrapText="1"/>
    </xf>
    <xf numFmtId="4" fontId="3" fillId="0" borderId="19" xfId="0" applyNumberFormat="1" applyFont="1" applyFill="1" applyBorder="1" applyAlignment="1">
      <alignment wrapText="1"/>
    </xf>
    <xf numFmtId="0" fontId="6" fillId="5" borderId="17" xfId="0" applyFont="1" applyFill="1" applyBorder="1" applyAlignment="1">
      <alignment vertical="top" wrapText="1"/>
    </xf>
    <xf numFmtId="0" fontId="6" fillId="5" borderId="9" xfId="0" applyFont="1" applyFill="1" applyBorder="1"/>
    <xf numFmtId="4" fontId="6" fillId="5" borderId="9" xfId="0" applyNumberFormat="1" applyFont="1" applyFill="1" applyBorder="1" applyAlignment="1">
      <alignment horizontal="right"/>
    </xf>
    <xf numFmtId="4" fontId="6" fillId="5" borderId="8" xfId="0" applyNumberFormat="1" applyFont="1" applyFill="1" applyBorder="1" applyAlignment="1">
      <alignment horizontal="right"/>
    </xf>
    <xf numFmtId="0" fontId="3" fillId="0" borderId="12" xfId="0" applyFont="1" applyBorder="1" applyAlignment="1">
      <alignment wrapText="1"/>
    </xf>
    <xf numFmtId="0" fontId="3" fillId="0" borderId="12" xfId="0" applyFont="1" applyBorder="1"/>
    <xf numFmtId="0" fontId="3" fillId="0" borderId="12" xfId="0" applyFont="1" applyBorder="1" applyAlignment="1">
      <alignment horizontal="justify" wrapText="1"/>
    </xf>
    <xf numFmtId="0" fontId="9" fillId="0" borderId="12" xfId="0" applyFont="1" applyBorder="1"/>
    <xf numFmtId="49" fontId="10" fillId="0" borderId="13" xfId="0" applyNumberFormat="1" applyFont="1" applyBorder="1" applyAlignment="1">
      <alignment horizontal="right" wrapText="1"/>
    </xf>
    <xf numFmtId="4" fontId="6" fillId="2" borderId="15" xfId="0" applyNumberFormat="1" applyFont="1" applyFill="1" applyBorder="1" applyAlignment="1">
      <alignment wrapText="1"/>
    </xf>
    <xf numFmtId="4" fontId="6" fillId="0" borderId="15" xfId="0" applyNumberFormat="1" applyFont="1" applyFill="1" applyBorder="1" applyAlignment="1">
      <alignment horizontal="right" wrapText="1"/>
    </xf>
    <xf numFmtId="4" fontId="4" fillId="0" borderId="15" xfId="0" applyNumberFormat="1" applyFont="1" applyFill="1" applyBorder="1" applyAlignment="1">
      <alignment horizontal="right" wrapText="1"/>
    </xf>
    <xf numFmtId="4" fontId="6" fillId="5" borderId="15" xfId="0" applyNumberFormat="1" applyFont="1" applyFill="1" applyBorder="1" applyAlignment="1">
      <alignment wrapText="1"/>
    </xf>
    <xf numFmtId="4" fontId="6" fillId="2" borderId="15" xfId="0" applyNumberFormat="1" applyFont="1" applyFill="1" applyBorder="1" applyAlignment="1">
      <alignment horizontal="right" wrapText="1"/>
    </xf>
    <xf numFmtId="4" fontId="6" fillId="4" borderId="15" xfId="0" applyNumberFormat="1" applyFont="1" applyFill="1" applyBorder="1" applyAlignment="1">
      <alignment horizontal="right" wrapText="1"/>
    </xf>
    <xf numFmtId="4" fontId="3" fillId="3" borderId="15" xfId="0" applyNumberFormat="1" applyFont="1" applyFill="1" applyBorder="1" applyAlignment="1">
      <alignment wrapText="1"/>
    </xf>
    <xf numFmtId="4" fontId="6" fillId="3" borderId="15" xfId="0" applyNumberFormat="1" applyFont="1" applyFill="1" applyBorder="1" applyAlignment="1">
      <alignment wrapText="1"/>
    </xf>
    <xf numFmtId="4" fontId="6" fillId="2" borderId="18" xfId="0" applyNumberFormat="1" applyFont="1" applyFill="1" applyBorder="1" applyAlignment="1">
      <alignment wrapText="1"/>
    </xf>
    <xf numFmtId="0" fontId="6" fillId="0" borderId="17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wrapText="1"/>
    </xf>
    <xf numFmtId="49" fontId="6" fillId="0" borderId="9" xfId="0" applyNumberFormat="1" applyFont="1" applyFill="1" applyBorder="1" applyAlignment="1">
      <alignment horizontal="center" wrapText="1"/>
    </xf>
    <xf numFmtId="4" fontId="6" fillId="2" borderId="9" xfId="0" applyNumberFormat="1" applyFont="1" applyFill="1" applyBorder="1" applyAlignment="1">
      <alignment horizontal="right" wrapText="1"/>
    </xf>
    <xf numFmtId="0" fontId="5" fillId="0" borderId="12" xfId="0" applyFont="1" applyBorder="1" applyAlignment="1">
      <alignment horizontal="justify" wrapText="1"/>
    </xf>
    <xf numFmtId="0" fontId="11" fillId="0" borderId="12" xfId="0" applyFont="1" applyBorder="1" applyAlignment="1">
      <alignment wrapText="1"/>
    </xf>
    <xf numFmtId="0" fontId="3" fillId="0" borderId="0" xfId="0" applyFont="1" applyFill="1"/>
    <xf numFmtId="0" fontId="3" fillId="0" borderId="0" xfId="0" applyFont="1" applyFill="1" applyBorder="1" applyAlignment="1">
      <alignment horizontal="right"/>
    </xf>
    <xf numFmtId="0" fontId="3" fillId="3" borderId="0" xfId="0" applyFont="1" applyFill="1" applyAlignment="1">
      <alignment vertical="top" wrapText="1"/>
    </xf>
    <xf numFmtId="0" fontId="3" fillId="3" borderId="0" xfId="0" applyFont="1" applyFill="1"/>
    <xf numFmtId="4" fontId="3" fillId="3" borderId="0" xfId="0" applyNumberFormat="1" applyFont="1" applyFill="1"/>
    <xf numFmtId="4" fontId="3" fillId="0" borderId="0" xfId="0" applyNumberFormat="1" applyFont="1"/>
    <xf numFmtId="0" fontId="6" fillId="0" borderId="0" xfId="0" applyFont="1" applyAlignment="1">
      <alignment vertical="top" wrapText="1"/>
    </xf>
    <xf numFmtId="49" fontId="6" fillId="0" borderId="0" xfId="0" applyNumberFormat="1" applyFont="1"/>
    <xf numFmtId="0" fontId="6" fillId="0" borderId="0" xfId="0" applyFont="1"/>
    <xf numFmtId="0" fontId="3" fillId="0" borderId="0" xfId="0" applyFont="1" applyAlignment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12" xfId="0" applyFont="1" applyBorder="1"/>
    <xf numFmtId="4" fontId="6" fillId="0" borderId="0" xfId="0" applyNumberFormat="1" applyFont="1" applyFill="1"/>
    <xf numFmtId="0" fontId="0" fillId="0" borderId="0" xfId="0" applyAlignment="1">
      <alignment horizontal="right"/>
    </xf>
    <xf numFmtId="0" fontId="0" fillId="0" borderId="0" xfId="0" applyFill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wrapText="1"/>
    </xf>
    <xf numFmtId="4" fontId="6" fillId="0" borderId="20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workbookViewId="0">
      <selection activeCell="B3" sqref="B3"/>
    </sheetView>
  </sheetViews>
  <sheetFormatPr defaultRowHeight="15"/>
  <cols>
    <col min="1" max="1" width="36" customWidth="1"/>
    <col min="2" max="2" width="21.28515625" customWidth="1"/>
    <col min="3" max="3" width="23.28515625" customWidth="1"/>
  </cols>
  <sheetData>
    <row r="1" spans="1:3">
      <c r="B1" s="218" t="s">
        <v>275</v>
      </c>
      <c r="C1" s="209"/>
    </row>
    <row r="2" spans="1:3" hidden="1">
      <c r="B2" s="210" t="s">
        <v>0</v>
      </c>
      <c r="C2" s="210"/>
    </row>
    <row r="4" spans="1:3" ht="59.25" customHeight="1">
      <c r="A4" s="211" t="s">
        <v>236</v>
      </c>
      <c r="B4" s="211"/>
      <c r="C4" s="211"/>
    </row>
    <row r="5" spans="1:3" ht="15.75">
      <c r="A5" s="1"/>
    </row>
    <row r="6" spans="1:3" ht="15.75" thickBot="1">
      <c r="B6" s="2"/>
      <c r="C6" s="2" t="s">
        <v>1</v>
      </c>
    </row>
    <row r="7" spans="1:3" ht="16.5" thickBot="1">
      <c r="A7" s="3" t="s">
        <v>2</v>
      </c>
      <c r="B7" s="4">
        <v>2016</v>
      </c>
      <c r="C7" s="5">
        <v>2017</v>
      </c>
    </row>
    <row r="8" spans="1:3" ht="15.75">
      <c r="A8" s="147" t="s">
        <v>238</v>
      </c>
      <c r="B8" s="146">
        <v>0.05</v>
      </c>
      <c r="C8" s="6"/>
    </row>
    <row r="9" spans="1:3" ht="15.75">
      <c r="A9" s="6" t="s">
        <v>4</v>
      </c>
      <c r="B9" s="7">
        <v>16.66</v>
      </c>
      <c r="C9" s="7">
        <v>1.98</v>
      </c>
    </row>
    <row r="10" spans="1:3" ht="15.75">
      <c r="A10" s="6" t="s">
        <v>5</v>
      </c>
      <c r="B10" s="7">
        <v>24.47</v>
      </c>
      <c r="C10" s="7">
        <v>3.35</v>
      </c>
    </row>
    <row r="11" spans="1:3" ht="15.75">
      <c r="A11" s="6" t="s">
        <v>6</v>
      </c>
      <c r="B11" s="7">
        <v>21.77</v>
      </c>
      <c r="C11" s="7">
        <v>3.09</v>
      </c>
    </row>
    <row r="12" spans="1:3" ht="15.75">
      <c r="A12" s="6" t="s">
        <v>7</v>
      </c>
      <c r="B12" s="7">
        <v>17.11</v>
      </c>
      <c r="C12" s="7">
        <v>2.5499999999999998</v>
      </c>
    </row>
    <row r="13" spans="1:3" ht="15.75">
      <c r="A13" s="6" t="s">
        <v>21</v>
      </c>
      <c r="B13" s="7">
        <v>9.41</v>
      </c>
      <c r="C13" s="7">
        <v>0.92</v>
      </c>
    </row>
    <row r="14" spans="1:3" ht="15.75">
      <c r="A14" s="6" t="s">
        <v>222</v>
      </c>
      <c r="B14" s="7">
        <v>28.6</v>
      </c>
      <c r="C14" s="7">
        <v>4.32</v>
      </c>
    </row>
    <row r="15" spans="1:3" ht="15.75">
      <c r="A15" s="6" t="s">
        <v>8</v>
      </c>
      <c r="B15" s="7">
        <v>33.31</v>
      </c>
      <c r="C15" s="7">
        <v>4.7300000000000004</v>
      </c>
    </row>
    <row r="16" spans="1:3" ht="15.75">
      <c r="A16" s="6" t="s">
        <v>9</v>
      </c>
      <c r="B16" s="7">
        <v>26.8</v>
      </c>
      <c r="C16" s="7">
        <v>3.21</v>
      </c>
    </row>
    <row r="17" spans="1:3" ht="15.75">
      <c r="A17" s="6" t="s">
        <v>22</v>
      </c>
      <c r="B17" s="7">
        <v>32.61</v>
      </c>
      <c r="C17" s="7">
        <v>4.0199999999999996</v>
      </c>
    </row>
    <row r="18" spans="1:3" ht="15.75">
      <c r="A18" s="6" t="s">
        <v>10</v>
      </c>
      <c r="B18" s="7">
        <v>11.94</v>
      </c>
      <c r="C18" s="7">
        <v>1.83</v>
      </c>
    </row>
    <row r="19" spans="1:3" ht="15.75">
      <c r="A19" s="6" t="s">
        <v>11</v>
      </c>
      <c r="B19" s="7">
        <v>23.71</v>
      </c>
      <c r="C19" s="7">
        <v>3.78</v>
      </c>
    </row>
    <row r="20" spans="1:3" ht="15.75">
      <c r="A20" s="6" t="s">
        <v>12</v>
      </c>
      <c r="B20" s="7">
        <v>16.87</v>
      </c>
      <c r="C20" s="7">
        <v>2.4300000000000002</v>
      </c>
    </row>
    <row r="21" spans="1:3" ht="15.75">
      <c r="A21" s="6" t="s">
        <v>13</v>
      </c>
      <c r="B21" s="7">
        <v>50.89</v>
      </c>
      <c r="C21" s="7">
        <v>7.31</v>
      </c>
    </row>
    <row r="22" spans="1:3" ht="15.75">
      <c r="A22" s="6" t="s">
        <v>14</v>
      </c>
      <c r="B22" s="7">
        <v>22.35</v>
      </c>
      <c r="C22" s="7">
        <v>3.38</v>
      </c>
    </row>
    <row r="23" spans="1:3" ht="15.75">
      <c r="A23" s="6" t="s">
        <v>15</v>
      </c>
      <c r="B23" s="7">
        <v>28.75</v>
      </c>
      <c r="C23" s="7">
        <v>3.56</v>
      </c>
    </row>
    <row r="24" spans="1:3" ht="15.75">
      <c r="A24" s="6" t="s">
        <v>16</v>
      </c>
      <c r="B24" s="7">
        <v>467.04</v>
      </c>
      <c r="C24" s="7">
        <v>44.31</v>
      </c>
    </row>
    <row r="25" spans="1:3" ht="15.75">
      <c r="A25" s="6" t="s">
        <v>17</v>
      </c>
      <c r="B25" s="7">
        <v>27.66</v>
      </c>
      <c r="C25" s="7">
        <v>3.56</v>
      </c>
    </row>
    <row r="26" spans="1:3" ht="15.75">
      <c r="A26" s="6"/>
      <c r="B26" s="8"/>
      <c r="C26" s="7"/>
    </row>
    <row r="27" spans="1:3" ht="15.75">
      <c r="A27" s="6" t="s">
        <v>18</v>
      </c>
      <c r="B27" s="9">
        <f>SUM(B8:B25)</f>
        <v>860</v>
      </c>
      <c r="C27" s="9">
        <f>SUM(C8:C25)</f>
        <v>98.330000000000013</v>
      </c>
    </row>
    <row r="30" spans="1:3" ht="47.25">
      <c r="A30" s="10" t="s">
        <v>19</v>
      </c>
      <c r="B30" s="11"/>
      <c r="C30" s="12" t="s">
        <v>20</v>
      </c>
    </row>
  </sheetData>
  <mergeCells count="3">
    <mergeCell ref="B1:C1"/>
    <mergeCell ref="B2:C2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opLeftCell="A3" workbookViewId="0">
      <selection activeCell="D3" sqref="D3:E3"/>
    </sheetView>
  </sheetViews>
  <sheetFormatPr defaultRowHeight="15"/>
  <cols>
    <col min="1" max="1" width="32" customWidth="1"/>
    <col min="2" max="2" width="12.5703125" customWidth="1"/>
    <col min="3" max="3" width="20.140625" customWidth="1"/>
    <col min="4" max="4" width="14.7109375" customWidth="1"/>
    <col min="5" max="5" width="22.140625" customWidth="1"/>
  </cols>
  <sheetData>
    <row r="1" spans="1:5" hidden="1">
      <c r="C1" s="2"/>
      <c r="E1" s="2" t="s">
        <v>23</v>
      </c>
    </row>
    <row r="2" spans="1:5" ht="75" hidden="1">
      <c r="C2" s="13"/>
      <c r="D2" s="14"/>
      <c r="E2" s="15" t="s">
        <v>0</v>
      </c>
    </row>
    <row r="3" spans="1:5">
      <c r="D3" s="218" t="s">
        <v>272</v>
      </c>
      <c r="E3" s="218"/>
    </row>
    <row r="4" spans="1:5" ht="47.25" customHeight="1">
      <c r="A4" s="211" t="s">
        <v>235</v>
      </c>
      <c r="B4" s="211"/>
      <c r="C4" s="211"/>
      <c r="D4" s="211"/>
      <c r="E4" s="211"/>
    </row>
    <row r="5" spans="1:5" ht="15.75">
      <c r="A5" s="1"/>
    </row>
    <row r="6" spans="1:5" ht="16.5" thickBot="1">
      <c r="A6" s="1"/>
      <c r="C6" s="209" t="s">
        <v>1</v>
      </c>
      <c r="D6" s="209"/>
      <c r="E6" s="209"/>
    </row>
    <row r="7" spans="1:5" ht="16.5" thickBot="1">
      <c r="A7" s="213" t="s">
        <v>2</v>
      </c>
      <c r="B7" s="215">
        <v>2016</v>
      </c>
      <c r="C7" s="215"/>
      <c r="D7" s="215">
        <v>2017</v>
      </c>
      <c r="E7" s="216"/>
    </row>
    <row r="8" spans="1:5" ht="110.25" customHeight="1" thickBot="1">
      <c r="A8" s="214"/>
      <c r="B8" s="16" t="s">
        <v>18</v>
      </c>
      <c r="C8" s="17" t="s">
        <v>24</v>
      </c>
      <c r="D8" s="18" t="s">
        <v>18</v>
      </c>
      <c r="E8" s="17" t="s">
        <v>24</v>
      </c>
    </row>
    <row r="9" spans="1:5" ht="15.75">
      <c r="A9" s="6" t="s">
        <v>3</v>
      </c>
      <c r="B9" s="7">
        <f>C9+1725.5</f>
        <v>1763.2</v>
      </c>
      <c r="C9" s="7">
        <v>37.700000000000003</v>
      </c>
      <c r="D9" s="7">
        <f>4.9+1971.75</f>
        <v>1976.65</v>
      </c>
      <c r="E9" s="7">
        <v>4.9000000000000004</v>
      </c>
    </row>
    <row r="10" spans="1:5" ht="15.75">
      <c r="A10" s="6" t="s">
        <v>4</v>
      </c>
      <c r="B10" s="7">
        <f>C10+1575.7</f>
        <v>1605</v>
      </c>
      <c r="C10" s="7">
        <v>29.3</v>
      </c>
      <c r="D10" s="7">
        <f>3.88+1847</f>
        <v>1850.88</v>
      </c>
      <c r="E10" s="7">
        <v>3.88</v>
      </c>
    </row>
    <row r="11" spans="1:5" ht="15.75">
      <c r="A11" s="6" t="s">
        <v>5</v>
      </c>
      <c r="B11" s="7">
        <f>50+2574.1</f>
        <v>2624.1</v>
      </c>
      <c r="C11" s="7">
        <v>50</v>
      </c>
      <c r="D11" s="7">
        <f>6.42+3092</f>
        <v>3098.42</v>
      </c>
      <c r="E11" s="7">
        <v>6.42</v>
      </c>
    </row>
    <row r="12" spans="1:5" ht="15.75">
      <c r="A12" s="6" t="s">
        <v>6</v>
      </c>
      <c r="B12" s="7">
        <f>19.1+1328.6</f>
        <v>1347.6999999999998</v>
      </c>
      <c r="C12" s="7">
        <v>19.100000000000001</v>
      </c>
      <c r="D12" s="7">
        <f>2.48+1644</f>
        <v>1646.48</v>
      </c>
      <c r="E12" s="7">
        <v>2.48</v>
      </c>
    </row>
    <row r="13" spans="1:5" ht="15.75">
      <c r="A13" s="6" t="s">
        <v>7</v>
      </c>
      <c r="B13" s="7">
        <f>22.8+632.4</f>
        <v>655.19999999999993</v>
      </c>
      <c r="C13" s="7">
        <v>22.8</v>
      </c>
      <c r="D13" s="7">
        <f>2.96+890</f>
        <v>892.96</v>
      </c>
      <c r="E13" s="7">
        <v>2.96</v>
      </c>
    </row>
    <row r="14" spans="1:5" ht="15.75">
      <c r="A14" s="6" t="s">
        <v>25</v>
      </c>
      <c r="B14" s="7">
        <f>67+3440.6</f>
        <v>3507.6</v>
      </c>
      <c r="C14" s="7">
        <v>67</v>
      </c>
      <c r="D14" s="7">
        <f>8.69+3844</f>
        <v>3852.69</v>
      </c>
      <c r="E14" s="7">
        <v>8.69</v>
      </c>
    </row>
    <row r="15" spans="1:5" ht="15.75">
      <c r="A15" s="6" t="s">
        <v>222</v>
      </c>
      <c r="B15" s="7">
        <f>21.4+2394.2</f>
        <v>2415.6</v>
      </c>
      <c r="C15" s="7">
        <v>21.4</v>
      </c>
      <c r="D15" s="7">
        <f>2.78+2739</f>
        <v>2741.78</v>
      </c>
      <c r="E15" s="7">
        <v>2.78</v>
      </c>
    </row>
    <row r="16" spans="1:5" ht="15.75">
      <c r="A16" s="6" t="s">
        <v>8</v>
      </c>
      <c r="B16" s="7">
        <f>43.8+3573.1</f>
        <v>3616.9</v>
      </c>
      <c r="C16" s="7">
        <v>43.8</v>
      </c>
      <c r="D16" s="7">
        <f>5.68+4140</f>
        <v>4145.68</v>
      </c>
      <c r="E16" s="7">
        <v>5.68</v>
      </c>
    </row>
    <row r="17" spans="1:5" ht="15.75">
      <c r="A17" s="6" t="s">
        <v>9</v>
      </c>
      <c r="B17" s="7">
        <f>27.7+2253.1</f>
        <v>2280.7999999999997</v>
      </c>
      <c r="C17" s="7">
        <v>27.7</v>
      </c>
      <c r="D17" s="7">
        <f>3.59+2662</f>
        <v>2665.59</v>
      </c>
      <c r="E17" s="7">
        <v>3.59</v>
      </c>
    </row>
    <row r="18" spans="1:5" ht="15.75">
      <c r="A18" s="6" t="s">
        <v>22</v>
      </c>
      <c r="B18" s="7">
        <f>53.1+4006.5</f>
        <v>4059.6</v>
      </c>
      <c r="C18" s="7">
        <v>53.1</v>
      </c>
      <c r="D18" s="7">
        <f>6.89+4589</f>
        <v>4595.8900000000003</v>
      </c>
      <c r="E18" s="7">
        <v>6.89</v>
      </c>
    </row>
    <row r="19" spans="1:5" ht="15.75">
      <c r="A19" s="6" t="s">
        <v>10</v>
      </c>
      <c r="B19" s="7">
        <f>1830.4+25.5</f>
        <v>1855.9</v>
      </c>
      <c r="C19" s="7">
        <v>25.5</v>
      </c>
      <c r="D19" s="7">
        <f>3.31+2076</f>
        <v>2079.31</v>
      </c>
      <c r="E19" s="7">
        <v>3.31</v>
      </c>
    </row>
    <row r="20" spans="1:5" ht="15.75">
      <c r="A20" s="6" t="s">
        <v>11</v>
      </c>
      <c r="B20" s="7">
        <f>3051.4+37.2</f>
        <v>3088.6</v>
      </c>
      <c r="C20" s="7">
        <v>37.200000000000003</v>
      </c>
      <c r="D20" s="7">
        <f>4.83+3521</f>
        <v>3525.83</v>
      </c>
      <c r="E20" s="7">
        <v>4.83</v>
      </c>
    </row>
    <row r="21" spans="1:5" ht="15.75">
      <c r="A21" s="6" t="s">
        <v>12</v>
      </c>
      <c r="B21" s="7">
        <f>28+1635.1</f>
        <v>1663.1</v>
      </c>
      <c r="C21" s="7">
        <v>28</v>
      </c>
      <c r="D21" s="7">
        <f>3.64+1927</f>
        <v>1930.64</v>
      </c>
      <c r="E21" s="7">
        <v>3.64</v>
      </c>
    </row>
    <row r="22" spans="1:5" ht="15.75">
      <c r="A22" s="6" t="s">
        <v>13</v>
      </c>
      <c r="B22" s="7">
        <f>41.4+3823.2</f>
        <v>3864.6</v>
      </c>
      <c r="C22" s="7">
        <v>41.4</v>
      </c>
      <c r="D22" s="7">
        <f>5.38+4583</f>
        <v>4588.38</v>
      </c>
      <c r="E22" s="7">
        <v>5.38</v>
      </c>
    </row>
    <row r="23" spans="1:5" ht="15.75">
      <c r="A23" s="6" t="s">
        <v>14</v>
      </c>
      <c r="B23" s="7">
        <f>21.4+1904.4</f>
        <v>1925.8000000000002</v>
      </c>
      <c r="C23" s="7">
        <v>21.4</v>
      </c>
      <c r="D23" s="7">
        <f>2.77+2191</f>
        <v>2193.77</v>
      </c>
      <c r="E23" s="7">
        <v>2.77</v>
      </c>
    </row>
    <row r="24" spans="1:5" ht="15.75">
      <c r="A24" s="6" t="s">
        <v>15</v>
      </c>
      <c r="B24" s="7">
        <f>33.8+2949.2</f>
        <v>2983</v>
      </c>
      <c r="C24" s="7">
        <v>33.799999999999997</v>
      </c>
      <c r="D24" s="7">
        <f>4.39+3426</f>
        <v>3430.39</v>
      </c>
      <c r="E24" s="7">
        <v>4.3899999999999997</v>
      </c>
    </row>
    <row r="25" spans="1:5" ht="15.75">
      <c r="A25" s="6" t="s">
        <v>16</v>
      </c>
      <c r="B25" s="7">
        <f>248.9+31889.7</f>
        <v>32138.600000000002</v>
      </c>
      <c r="C25" s="7">
        <v>248.9</v>
      </c>
      <c r="D25" s="7">
        <f>32.31+32769</f>
        <v>32801.31</v>
      </c>
      <c r="E25" s="7">
        <v>32.31</v>
      </c>
    </row>
    <row r="26" spans="1:5" ht="15.75">
      <c r="A26" s="6" t="s">
        <v>17</v>
      </c>
      <c r="B26" s="7">
        <f>23.9+2577.1</f>
        <v>2601</v>
      </c>
      <c r="C26" s="7">
        <v>23.9</v>
      </c>
      <c r="D26" s="7">
        <f>3.1+2991</f>
        <v>2994.1</v>
      </c>
      <c r="E26" s="7">
        <v>3.1</v>
      </c>
    </row>
    <row r="27" spans="1:5" ht="15.75">
      <c r="A27" s="6"/>
      <c r="B27" s="7"/>
      <c r="C27" s="7"/>
      <c r="D27" s="19"/>
      <c r="E27" s="19"/>
    </row>
    <row r="28" spans="1:5" ht="15.75">
      <c r="A28" s="6" t="s">
        <v>18</v>
      </c>
      <c r="B28" s="9">
        <f>SUM(B9:B26)</f>
        <v>73996.3</v>
      </c>
      <c r="C28" s="7">
        <f>SUM(C9:C27)</f>
        <v>831.99999999999989</v>
      </c>
      <c r="D28" s="7">
        <f>SUM(D9:D27)</f>
        <v>81010.75</v>
      </c>
      <c r="E28" s="7">
        <f>SUM(E9:E27)</f>
        <v>107.99999999999999</v>
      </c>
    </row>
    <row r="30" spans="1:5" ht="15.75">
      <c r="A30" s="20" t="s">
        <v>26</v>
      </c>
      <c r="C30" s="2"/>
    </row>
    <row r="31" spans="1:5" ht="15.75">
      <c r="A31" s="212" t="s">
        <v>27</v>
      </c>
      <c r="B31" s="212"/>
      <c r="C31" s="21"/>
      <c r="E31" s="21" t="s">
        <v>20</v>
      </c>
    </row>
  </sheetData>
  <mergeCells count="7">
    <mergeCell ref="D3:E3"/>
    <mergeCell ref="A31:B31"/>
    <mergeCell ref="A4:E4"/>
    <mergeCell ref="C6:E6"/>
    <mergeCell ref="A7:A8"/>
    <mergeCell ref="B7:C7"/>
    <mergeCell ref="D7:E7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3"/>
  <sheetViews>
    <sheetView zoomScale="70" zoomScaleNormal="70" workbookViewId="0">
      <pane xSplit="1" ySplit="4" topLeftCell="B254" activePane="bottomRight" state="frozen"/>
      <selection pane="topRight" activeCell="B1" sqref="B1"/>
      <selection pane="bottomLeft" activeCell="A5" sqref="A5"/>
      <selection pane="bottomRight" activeCell="H195" sqref="H195"/>
    </sheetView>
  </sheetViews>
  <sheetFormatPr defaultRowHeight="15"/>
  <cols>
    <col min="1" max="1" width="94.42578125" customWidth="1"/>
    <col min="5" max="5" width="12.42578125" customWidth="1"/>
    <col min="7" max="7" width="16" customWidth="1"/>
    <col min="8" max="8" width="13.28515625" customWidth="1"/>
    <col min="10" max="10" width="10.42578125" bestFit="1" customWidth="1"/>
    <col min="11" max="11" width="10.5703125" bestFit="1" customWidth="1"/>
  </cols>
  <sheetData>
    <row r="1" spans="1:10">
      <c r="A1" s="69"/>
      <c r="B1" s="69"/>
      <c r="C1" s="69"/>
      <c r="D1" s="69"/>
      <c r="E1" s="69"/>
      <c r="F1" s="69"/>
      <c r="G1" s="218" t="s">
        <v>273</v>
      </c>
      <c r="H1" s="218"/>
    </row>
    <row r="2" spans="1:10" ht="46.5" customHeight="1">
      <c r="A2" s="217" t="s">
        <v>224</v>
      </c>
      <c r="B2" s="217"/>
      <c r="C2" s="217"/>
      <c r="D2" s="217"/>
      <c r="E2" s="217"/>
      <c r="F2" s="217"/>
      <c r="G2" s="217"/>
      <c r="H2" s="217"/>
    </row>
    <row r="3" spans="1:10" ht="15.75" thickBot="1">
      <c r="A3" s="192"/>
      <c r="B3" s="192"/>
      <c r="C3" s="192"/>
      <c r="D3" s="192"/>
      <c r="E3" s="192"/>
      <c r="F3" s="192"/>
      <c r="G3" s="193"/>
      <c r="H3" s="193" t="s">
        <v>28</v>
      </c>
    </row>
    <row r="4" spans="1:10" ht="30.75" thickBot="1">
      <c r="A4" s="186" t="s">
        <v>29</v>
      </c>
      <c r="B4" s="187" t="s">
        <v>30</v>
      </c>
      <c r="C4" s="45" t="s">
        <v>31</v>
      </c>
      <c r="D4" s="45" t="s">
        <v>32</v>
      </c>
      <c r="E4" s="45" t="s">
        <v>33</v>
      </c>
      <c r="F4" s="45" t="s">
        <v>34</v>
      </c>
      <c r="G4" s="188" t="s">
        <v>190</v>
      </c>
      <c r="H4" s="46" t="s">
        <v>223</v>
      </c>
    </row>
    <row r="5" spans="1:10">
      <c r="A5" s="88" t="s">
        <v>35</v>
      </c>
      <c r="B5" s="47">
        <v>200</v>
      </c>
      <c r="C5" s="48" t="s">
        <v>36</v>
      </c>
      <c r="D5" s="48" t="s">
        <v>36</v>
      </c>
      <c r="E5" s="48" t="s">
        <v>37</v>
      </c>
      <c r="F5" s="48" t="s">
        <v>38</v>
      </c>
      <c r="G5" s="121">
        <f>G6</f>
        <v>12364.98</v>
      </c>
      <c r="H5" s="185">
        <f>H6</f>
        <v>9848.08</v>
      </c>
      <c r="J5" s="19"/>
    </row>
    <row r="6" spans="1:10">
      <c r="A6" s="49" t="s">
        <v>39</v>
      </c>
      <c r="B6" s="60">
        <v>200</v>
      </c>
      <c r="C6" s="50" t="s">
        <v>40</v>
      </c>
      <c r="D6" s="50" t="s">
        <v>36</v>
      </c>
      <c r="E6" s="50" t="s">
        <v>41</v>
      </c>
      <c r="F6" s="75" t="s">
        <v>38</v>
      </c>
      <c r="G6" s="112">
        <f>G7+G11+G17</f>
        <v>12364.98</v>
      </c>
      <c r="H6" s="148">
        <f>H7+H11+H17</f>
        <v>9848.08</v>
      </c>
      <c r="J6" s="19"/>
    </row>
    <row r="7" spans="1:10" ht="30">
      <c r="A7" s="49" t="s">
        <v>42</v>
      </c>
      <c r="B7" s="60">
        <v>200</v>
      </c>
      <c r="C7" s="50" t="s">
        <v>40</v>
      </c>
      <c r="D7" s="50" t="s">
        <v>43</v>
      </c>
      <c r="E7" s="50" t="s">
        <v>41</v>
      </c>
      <c r="F7" s="50" t="s">
        <v>38</v>
      </c>
      <c r="G7" s="112">
        <f t="shared" ref="G7:H9" si="0">G8</f>
        <v>1925</v>
      </c>
      <c r="H7" s="148">
        <f t="shared" si="0"/>
        <v>1925</v>
      </c>
      <c r="J7" s="19"/>
    </row>
    <row r="8" spans="1:10" ht="29.25">
      <c r="A8" s="89" t="s">
        <v>44</v>
      </c>
      <c r="B8" s="44">
        <v>200</v>
      </c>
      <c r="C8" s="27" t="s">
        <v>40</v>
      </c>
      <c r="D8" s="27" t="s">
        <v>43</v>
      </c>
      <c r="E8" s="27" t="s">
        <v>45</v>
      </c>
      <c r="F8" s="27" t="s">
        <v>38</v>
      </c>
      <c r="G8" s="113">
        <f t="shared" si="0"/>
        <v>1925</v>
      </c>
      <c r="H8" s="149">
        <f t="shared" si="0"/>
        <v>1925</v>
      </c>
      <c r="J8" s="19"/>
    </row>
    <row r="9" spans="1:10" ht="29.25">
      <c r="A9" s="89" t="s">
        <v>44</v>
      </c>
      <c r="B9" s="44">
        <v>200</v>
      </c>
      <c r="C9" s="27" t="s">
        <v>40</v>
      </c>
      <c r="D9" s="27" t="s">
        <v>43</v>
      </c>
      <c r="E9" s="27" t="s">
        <v>46</v>
      </c>
      <c r="F9" s="27" t="s">
        <v>38</v>
      </c>
      <c r="G9" s="113">
        <f t="shared" si="0"/>
        <v>1925</v>
      </c>
      <c r="H9" s="149">
        <f t="shared" si="0"/>
        <v>1925</v>
      </c>
      <c r="J9" s="19"/>
    </row>
    <row r="10" spans="1:10" ht="43.5">
      <c r="A10" s="90" t="s">
        <v>47</v>
      </c>
      <c r="B10" s="44">
        <v>200</v>
      </c>
      <c r="C10" s="27" t="s">
        <v>40</v>
      </c>
      <c r="D10" s="27" t="s">
        <v>43</v>
      </c>
      <c r="E10" s="27" t="s">
        <v>46</v>
      </c>
      <c r="F10" s="24" t="s">
        <v>48</v>
      </c>
      <c r="G10" s="113">
        <v>1925</v>
      </c>
      <c r="H10" s="149">
        <f>-130+1925+251.1-121.1</f>
        <v>1925</v>
      </c>
      <c r="J10" s="19"/>
    </row>
    <row r="11" spans="1:10" ht="30">
      <c r="A11" s="91" t="s">
        <v>49</v>
      </c>
      <c r="B11" s="60">
        <v>200</v>
      </c>
      <c r="C11" s="34" t="s">
        <v>40</v>
      </c>
      <c r="D11" s="34" t="s">
        <v>50</v>
      </c>
      <c r="E11" s="34" t="s">
        <v>41</v>
      </c>
      <c r="F11" s="34" t="s">
        <v>38</v>
      </c>
      <c r="G11" s="112">
        <f>G12</f>
        <v>10172</v>
      </c>
      <c r="H11" s="148">
        <f>H12</f>
        <v>7655.1</v>
      </c>
      <c r="J11" s="19"/>
    </row>
    <row r="12" spans="1:10" ht="29.25">
      <c r="A12" s="89" t="s">
        <v>44</v>
      </c>
      <c r="B12" s="44">
        <v>200</v>
      </c>
      <c r="C12" s="27" t="s">
        <v>40</v>
      </c>
      <c r="D12" s="27" t="s">
        <v>50</v>
      </c>
      <c r="E12" s="27" t="s">
        <v>45</v>
      </c>
      <c r="F12" s="27" t="s">
        <v>38</v>
      </c>
      <c r="G12" s="113">
        <f>G13</f>
        <v>10172</v>
      </c>
      <c r="H12" s="149">
        <f>H13</f>
        <v>7655.1</v>
      </c>
      <c r="J12" s="19"/>
    </row>
    <row r="13" spans="1:10">
      <c r="A13" s="92" t="s">
        <v>51</v>
      </c>
      <c r="B13" s="44">
        <v>200</v>
      </c>
      <c r="C13" s="27" t="s">
        <v>40</v>
      </c>
      <c r="D13" s="27" t="s">
        <v>50</v>
      </c>
      <c r="E13" s="27" t="s">
        <v>52</v>
      </c>
      <c r="F13" s="27" t="s">
        <v>38</v>
      </c>
      <c r="G13" s="113">
        <f>G14+G15+G16</f>
        <v>10172</v>
      </c>
      <c r="H13" s="149">
        <f>H14+H15+H16</f>
        <v>7655.1</v>
      </c>
      <c r="J13" s="19"/>
    </row>
    <row r="14" spans="1:10" ht="43.5">
      <c r="A14" s="90" t="s">
        <v>47</v>
      </c>
      <c r="B14" s="44">
        <v>200</v>
      </c>
      <c r="C14" s="27" t="s">
        <v>40</v>
      </c>
      <c r="D14" s="27" t="s">
        <v>50</v>
      </c>
      <c r="E14" s="27" t="s">
        <v>52</v>
      </c>
      <c r="F14" s="24" t="s">
        <v>48</v>
      </c>
      <c r="G14" s="113">
        <v>4640</v>
      </c>
      <c r="H14" s="149">
        <f>-138+4640+121.1</f>
        <v>4623.1000000000004</v>
      </c>
      <c r="J14" s="19"/>
    </row>
    <row r="15" spans="1:10">
      <c r="A15" s="90" t="s">
        <v>53</v>
      </c>
      <c r="B15" s="44">
        <v>200</v>
      </c>
      <c r="C15" s="27" t="s">
        <v>40</v>
      </c>
      <c r="D15" s="27" t="s">
        <v>50</v>
      </c>
      <c r="E15" s="27" t="s">
        <v>52</v>
      </c>
      <c r="F15" s="24" t="s">
        <v>54</v>
      </c>
      <c r="G15" s="113">
        <f>5352</f>
        <v>5352</v>
      </c>
      <c r="H15" s="149">
        <v>2852</v>
      </c>
      <c r="J15" s="19"/>
    </row>
    <row r="16" spans="1:10">
      <c r="A16" s="90" t="s">
        <v>55</v>
      </c>
      <c r="B16" s="44">
        <v>200</v>
      </c>
      <c r="C16" s="27" t="s">
        <v>40</v>
      </c>
      <c r="D16" s="27" t="s">
        <v>50</v>
      </c>
      <c r="E16" s="27" t="s">
        <v>52</v>
      </c>
      <c r="F16" s="24" t="s">
        <v>56</v>
      </c>
      <c r="G16" s="113">
        <v>180</v>
      </c>
      <c r="H16" s="149">
        <v>180</v>
      </c>
      <c r="J16" s="19"/>
    </row>
    <row r="17" spans="1:12">
      <c r="A17" s="93" t="s">
        <v>57</v>
      </c>
      <c r="B17" s="60">
        <v>200</v>
      </c>
      <c r="C17" s="35" t="s">
        <v>40</v>
      </c>
      <c r="D17" s="36" t="s">
        <v>58</v>
      </c>
      <c r="E17" s="36" t="s">
        <v>41</v>
      </c>
      <c r="F17" s="35" t="s">
        <v>38</v>
      </c>
      <c r="G17" s="114">
        <f>G18</f>
        <v>267.98</v>
      </c>
      <c r="H17" s="178">
        <f t="shared" ref="G17:H19" si="1">H18</f>
        <v>267.98</v>
      </c>
      <c r="J17" s="19"/>
      <c r="L17" s="19"/>
    </row>
    <row r="18" spans="1:12" ht="29.25">
      <c r="A18" s="89" t="s">
        <v>44</v>
      </c>
      <c r="B18" s="44">
        <v>200</v>
      </c>
      <c r="C18" s="24" t="s">
        <v>40</v>
      </c>
      <c r="D18" s="24" t="s">
        <v>58</v>
      </c>
      <c r="E18" s="24" t="s">
        <v>45</v>
      </c>
      <c r="F18" s="24" t="s">
        <v>38</v>
      </c>
      <c r="G18" s="115">
        <f t="shared" si="1"/>
        <v>267.98</v>
      </c>
      <c r="H18" s="179">
        <f t="shared" si="1"/>
        <v>267.98</v>
      </c>
      <c r="J18" s="19"/>
    </row>
    <row r="19" spans="1:12">
      <c r="A19" s="94" t="s">
        <v>59</v>
      </c>
      <c r="B19" s="44">
        <v>200</v>
      </c>
      <c r="C19" s="23" t="s">
        <v>40</v>
      </c>
      <c r="D19" s="23" t="s">
        <v>58</v>
      </c>
      <c r="E19" s="24" t="s">
        <v>60</v>
      </c>
      <c r="F19" s="24" t="s">
        <v>38</v>
      </c>
      <c r="G19" s="64">
        <f t="shared" si="1"/>
        <v>267.98</v>
      </c>
      <c r="H19" s="165">
        <f t="shared" si="1"/>
        <v>267.98</v>
      </c>
      <c r="J19" s="19"/>
    </row>
    <row r="20" spans="1:12">
      <c r="A20" s="90" t="s">
        <v>55</v>
      </c>
      <c r="B20" s="44">
        <v>200</v>
      </c>
      <c r="C20" s="23" t="s">
        <v>40</v>
      </c>
      <c r="D20" s="23" t="s">
        <v>58</v>
      </c>
      <c r="E20" s="24" t="s">
        <v>60</v>
      </c>
      <c r="F20" s="24" t="s">
        <v>56</v>
      </c>
      <c r="G20" s="64">
        <v>267.98</v>
      </c>
      <c r="H20" s="165">
        <v>267.98</v>
      </c>
      <c r="J20" s="19"/>
    </row>
    <row r="21" spans="1:12">
      <c r="A21" s="95" t="s">
        <v>61</v>
      </c>
      <c r="B21" s="55" t="s">
        <v>62</v>
      </c>
      <c r="C21" s="51" t="s">
        <v>36</v>
      </c>
      <c r="D21" s="51" t="s">
        <v>36</v>
      </c>
      <c r="E21" s="52" t="s">
        <v>41</v>
      </c>
      <c r="F21" s="52" t="s">
        <v>38</v>
      </c>
      <c r="G21" s="111">
        <f>G22+G65+G78+G84+G69</f>
        <v>33603.509999999995</v>
      </c>
      <c r="H21" s="111">
        <f>H22+H65+H78+H84+H69</f>
        <v>29710.35</v>
      </c>
      <c r="J21" s="19"/>
    </row>
    <row r="22" spans="1:12">
      <c r="A22" s="49" t="s">
        <v>39</v>
      </c>
      <c r="B22" s="60" t="s">
        <v>62</v>
      </c>
      <c r="C22" s="50" t="s">
        <v>40</v>
      </c>
      <c r="D22" s="50" t="s">
        <v>36</v>
      </c>
      <c r="E22" s="50" t="s">
        <v>41</v>
      </c>
      <c r="F22" s="75" t="s">
        <v>38</v>
      </c>
      <c r="G22" s="112">
        <f>G23+G29+G33+G38</f>
        <v>16221.210000000001</v>
      </c>
      <c r="H22" s="112">
        <f>H23+H29+H33+H38</f>
        <v>12377.349999999999</v>
      </c>
      <c r="J22" s="19"/>
    </row>
    <row r="23" spans="1:12" ht="45">
      <c r="A23" s="91" t="s">
        <v>63</v>
      </c>
      <c r="B23" s="53">
        <v>103</v>
      </c>
      <c r="C23" s="35" t="s">
        <v>40</v>
      </c>
      <c r="D23" s="35" t="s">
        <v>64</v>
      </c>
      <c r="E23" s="34" t="s">
        <v>41</v>
      </c>
      <c r="F23" s="36" t="s">
        <v>38</v>
      </c>
      <c r="G23" s="110">
        <f>G24</f>
        <v>10218.4</v>
      </c>
      <c r="H23" s="151">
        <f>H24</f>
        <v>7518.4</v>
      </c>
      <c r="J23" s="19"/>
    </row>
    <row r="24" spans="1:12" ht="29.25">
      <c r="A24" s="89" t="s">
        <v>44</v>
      </c>
      <c r="B24" s="53">
        <v>103</v>
      </c>
      <c r="C24" s="25" t="s">
        <v>40</v>
      </c>
      <c r="D24" s="25" t="s">
        <v>64</v>
      </c>
      <c r="E24" s="26" t="s">
        <v>45</v>
      </c>
      <c r="F24" s="26" t="s">
        <v>38</v>
      </c>
      <c r="G24" s="63">
        <f>G25</f>
        <v>10218.4</v>
      </c>
      <c r="H24" s="150">
        <f>H25</f>
        <v>7518.4</v>
      </c>
      <c r="J24" s="19"/>
    </row>
    <row r="25" spans="1:12">
      <c r="A25" s="96" t="s">
        <v>65</v>
      </c>
      <c r="B25" s="56">
        <v>103</v>
      </c>
      <c r="C25" s="25" t="s">
        <v>40</v>
      </c>
      <c r="D25" s="25" t="s">
        <v>64</v>
      </c>
      <c r="E25" s="26" t="s">
        <v>52</v>
      </c>
      <c r="F25" s="26" t="s">
        <v>38</v>
      </c>
      <c r="G25" s="63">
        <f>G26+G27+G28</f>
        <v>10218.4</v>
      </c>
      <c r="H25" s="150">
        <f>H26+H27+H28</f>
        <v>7518.4</v>
      </c>
      <c r="J25" s="19"/>
    </row>
    <row r="26" spans="1:12">
      <c r="A26" s="96" t="s">
        <v>66</v>
      </c>
      <c r="B26" s="56">
        <v>103</v>
      </c>
      <c r="C26" s="25" t="s">
        <v>40</v>
      </c>
      <c r="D26" s="25" t="s">
        <v>64</v>
      </c>
      <c r="E26" s="26" t="s">
        <v>52</v>
      </c>
      <c r="F26" s="23" t="s">
        <v>48</v>
      </c>
      <c r="G26" s="64">
        <v>5568.4</v>
      </c>
      <c r="H26" s="165">
        <v>5568.4</v>
      </c>
      <c r="J26" s="19"/>
    </row>
    <row r="27" spans="1:12">
      <c r="A27" s="90" t="s">
        <v>53</v>
      </c>
      <c r="B27" s="56">
        <v>103</v>
      </c>
      <c r="C27" s="25" t="s">
        <v>40</v>
      </c>
      <c r="D27" s="25" t="s">
        <v>64</v>
      </c>
      <c r="E27" s="26" t="s">
        <v>52</v>
      </c>
      <c r="F27" s="23" t="s">
        <v>54</v>
      </c>
      <c r="G27" s="64">
        <f>4600</f>
        <v>4600</v>
      </c>
      <c r="H27" s="165">
        <f>-1500+4600-1200</f>
        <v>1900</v>
      </c>
      <c r="J27" s="19"/>
    </row>
    <row r="28" spans="1:12">
      <c r="A28" s="90" t="s">
        <v>55</v>
      </c>
      <c r="B28" s="56">
        <v>103</v>
      </c>
      <c r="C28" s="25" t="s">
        <v>40</v>
      </c>
      <c r="D28" s="25" t="s">
        <v>64</v>
      </c>
      <c r="E28" s="26" t="s">
        <v>52</v>
      </c>
      <c r="F28" s="23" t="s">
        <v>56</v>
      </c>
      <c r="G28" s="64">
        <f>50</f>
        <v>50</v>
      </c>
      <c r="H28" s="165">
        <f>50</f>
        <v>50</v>
      </c>
      <c r="J28" s="19"/>
    </row>
    <row r="29" spans="1:12">
      <c r="A29" s="134" t="s">
        <v>216</v>
      </c>
      <c r="B29" s="56" t="s">
        <v>62</v>
      </c>
      <c r="C29" s="32" t="s">
        <v>40</v>
      </c>
      <c r="D29" s="32" t="s">
        <v>199</v>
      </c>
      <c r="E29" s="36" t="s">
        <v>41</v>
      </c>
      <c r="F29" s="32" t="s">
        <v>38</v>
      </c>
      <c r="G29" s="59">
        <f t="shared" ref="G29:H31" si="2">G30</f>
        <v>13.2</v>
      </c>
      <c r="H29" s="135">
        <f t="shared" si="2"/>
        <v>0</v>
      </c>
      <c r="J29" s="19"/>
    </row>
    <row r="30" spans="1:12">
      <c r="A30" s="174" t="s">
        <v>239</v>
      </c>
      <c r="B30" s="56" t="s">
        <v>62</v>
      </c>
      <c r="C30" s="23" t="s">
        <v>40</v>
      </c>
      <c r="D30" s="23" t="s">
        <v>199</v>
      </c>
      <c r="E30" s="26" t="s">
        <v>241</v>
      </c>
      <c r="F30" s="23" t="s">
        <v>38</v>
      </c>
      <c r="G30" s="37">
        <f t="shared" si="2"/>
        <v>13.2</v>
      </c>
      <c r="H30" s="136">
        <f t="shared" si="2"/>
        <v>0</v>
      </c>
      <c r="J30" s="19"/>
    </row>
    <row r="31" spans="1:12" ht="29.25">
      <c r="A31" s="90" t="s">
        <v>217</v>
      </c>
      <c r="B31" s="56" t="s">
        <v>62</v>
      </c>
      <c r="C31" s="23" t="s">
        <v>40</v>
      </c>
      <c r="D31" s="23" t="s">
        <v>199</v>
      </c>
      <c r="E31" s="26" t="s">
        <v>265</v>
      </c>
      <c r="F31" s="23" t="s">
        <v>38</v>
      </c>
      <c r="G31" s="37">
        <f t="shared" si="2"/>
        <v>13.2</v>
      </c>
      <c r="H31" s="136">
        <f t="shared" si="2"/>
        <v>0</v>
      </c>
      <c r="J31" s="19"/>
    </row>
    <row r="32" spans="1:12">
      <c r="A32" s="90" t="s">
        <v>53</v>
      </c>
      <c r="B32" s="56" t="s">
        <v>62</v>
      </c>
      <c r="C32" s="23" t="s">
        <v>40</v>
      </c>
      <c r="D32" s="23" t="s">
        <v>199</v>
      </c>
      <c r="E32" s="26" t="s">
        <v>265</v>
      </c>
      <c r="F32" s="23" t="s">
        <v>54</v>
      </c>
      <c r="G32" s="37">
        <v>13.2</v>
      </c>
      <c r="H32" s="136">
        <v>0</v>
      </c>
      <c r="J32" s="19"/>
    </row>
    <row r="33" spans="1:10">
      <c r="A33" s="93" t="s">
        <v>67</v>
      </c>
      <c r="B33" s="53">
        <v>103</v>
      </c>
      <c r="C33" s="35" t="s">
        <v>40</v>
      </c>
      <c r="D33" s="35" t="s">
        <v>68</v>
      </c>
      <c r="E33" s="36" t="s">
        <v>41</v>
      </c>
      <c r="F33" s="36" t="s">
        <v>38</v>
      </c>
      <c r="G33" s="110">
        <f t="shared" ref="G33:H36" si="3">G34</f>
        <v>3838.6</v>
      </c>
      <c r="H33" s="151">
        <f t="shared" si="3"/>
        <v>2529.92</v>
      </c>
      <c r="J33" s="19"/>
    </row>
    <row r="34" spans="1:10">
      <c r="A34" s="96" t="s">
        <v>67</v>
      </c>
      <c r="B34" s="56">
        <v>103</v>
      </c>
      <c r="C34" s="25" t="s">
        <v>40</v>
      </c>
      <c r="D34" s="25" t="s">
        <v>68</v>
      </c>
      <c r="E34" s="26" t="s">
        <v>69</v>
      </c>
      <c r="F34" s="26" t="s">
        <v>38</v>
      </c>
      <c r="G34" s="63">
        <f t="shared" si="3"/>
        <v>3838.6</v>
      </c>
      <c r="H34" s="150">
        <f t="shared" si="3"/>
        <v>2529.92</v>
      </c>
      <c r="J34" s="19"/>
    </row>
    <row r="35" spans="1:10">
      <c r="A35" s="96" t="s">
        <v>70</v>
      </c>
      <c r="B35" s="56">
        <v>103</v>
      </c>
      <c r="C35" s="25" t="s">
        <v>40</v>
      </c>
      <c r="D35" s="25" t="s">
        <v>68</v>
      </c>
      <c r="E35" s="26" t="s">
        <v>69</v>
      </c>
      <c r="F35" s="26" t="s">
        <v>38</v>
      </c>
      <c r="G35" s="63">
        <f t="shared" si="3"/>
        <v>3838.6</v>
      </c>
      <c r="H35" s="150">
        <f t="shared" si="3"/>
        <v>2529.92</v>
      </c>
      <c r="J35" s="19"/>
    </row>
    <row r="36" spans="1:10">
      <c r="A36" s="89" t="s">
        <v>71</v>
      </c>
      <c r="B36" s="56">
        <v>103</v>
      </c>
      <c r="C36" s="25" t="s">
        <v>40</v>
      </c>
      <c r="D36" s="25" t="s">
        <v>68</v>
      </c>
      <c r="E36" s="26" t="s">
        <v>72</v>
      </c>
      <c r="F36" s="26" t="s">
        <v>38</v>
      </c>
      <c r="G36" s="63">
        <f t="shared" si="3"/>
        <v>3838.6</v>
      </c>
      <c r="H36" s="150">
        <f t="shared" si="3"/>
        <v>2529.92</v>
      </c>
      <c r="J36" s="19"/>
    </row>
    <row r="37" spans="1:10">
      <c r="A37" s="90" t="s">
        <v>55</v>
      </c>
      <c r="B37" s="56">
        <v>103</v>
      </c>
      <c r="C37" s="25" t="s">
        <v>40</v>
      </c>
      <c r="D37" s="25" t="s">
        <v>68</v>
      </c>
      <c r="E37" s="26" t="s">
        <v>72</v>
      </c>
      <c r="F37" s="23" t="s">
        <v>56</v>
      </c>
      <c r="G37" s="63">
        <f>3838.6</f>
        <v>3838.6</v>
      </c>
      <c r="H37" s="150">
        <f>-1308.68+3838.6</f>
        <v>2529.92</v>
      </c>
      <c r="J37" s="19"/>
    </row>
    <row r="38" spans="1:10">
      <c r="A38" s="93" t="s">
        <v>57</v>
      </c>
      <c r="B38" s="53">
        <v>103</v>
      </c>
      <c r="C38" s="35" t="s">
        <v>40</v>
      </c>
      <c r="D38" s="35" t="s">
        <v>58</v>
      </c>
      <c r="E38" s="36" t="s">
        <v>41</v>
      </c>
      <c r="F38" s="36" t="s">
        <v>38</v>
      </c>
      <c r="G38" s="110">
        <f>G39+G42+G46+G49</f>
        <v>2151.0100000000002</v>
      </c>
      <c r="H38" s="110">
        <f>H39+H42+H46+H49</f>
        <v>2329.0299999999997</v>
      </c>
      <c r="J38" s="19"/>
    </row>
    <row r="39" spans="1:10" ht="29.25">
      <c r="A39" s="89" t="s">
        <v>44</v>
      </c>
      <c r="B39" s="56">
        <v>103</v>
      </c>
      <c r="C39" s="25" t="s">
        <v>40</v>
      </c>
      <c r="D39" s="25" t="s">
        <v>58</v>
      </c>
      <c r="E39" s="26" t="s">
        <v>45</v>
      </c>
      <c r="F39" s="26" t="s">
        <v>38</v>
      </c>
      <c r="G39" s="63">
        <f>G40</f>
        <v>20.63</v>
      </c>
      <c r="H39" s="150">
        <f>H40</f>
        <v>20.63</v>
      </c>
      <c r="J39" s="19"/>
    </row>
    <row r="40" spans="1:10">
      <c r="A40" s="94" t="s">
        <v>59</v>
      </c>
      <c r="B40" s="56">
        <v>103</v>
      </c>
      <c r="C40" s="23" t="s">
        <v>40</v>
      </c>
      <c r="D40" s="23" t="s">
        <v>58</v>
      </c>
      <c r="E40" s="24" t="s">
        <v>60</v>
      </c>
      <c r="F40" s="24" t="s">
        <v>38</v>
      </c>
      <c r="G40" s="64">
        <f>G41</f>
        <v>20.63</v>
      </c>
      <c r="H40" s="165">
        <f>H41</f>
        <v>20.63</v>
      </c>
      <c r="J40" s="19"/>
    </row>
    <row r="41" spans="1:10">
      <c r="A41" s="90" t="s">
        <v>55</v>
      </c>
      <c r="B41" s="56">
        <v>103</v>
      </c>
      <c r="C41" s="23" t="s">
        <v>40</v>
      </c>
      <c r="D41" s="23" t="s">
        <v>58</v>
      </c>
      <c r="E41" s="24" t="s">
        <v>60</v>
      </c>
      <c r="F41" s="24" t="s">
        <v>56</v>
      </c>
      <c r="G41" s="64">
        <v>20.63</v>
      </c>
      <c r="H41" s="165">
        <v>20.63</v>
      </c>
      <c r="J41" s="19"/>
    </row>
    <row r="42" spans="1:10" ht="29.25">
      <c r="A42" s="172" t="s">
        <v>247</v>
      </c>
      <c r="B42" s="56">
        <v>103</v>
      </c>
      <c r="C42" s="26" t="s">
        <v>40</v>
      </c>
      <c r="D42" s="26" t="s">
        <v>58</v>
      </c>
      <c r="E42" s="26" t="s">
        <v>248</v>
      </c>
      <c r="F42" s="26" t="s">
        <v>38</v>
      </c>
      <c r="G42" s="63">
        <f>G44+G45</f>
        <v>496.4</v>
      </c>
      <c r="H42" s="150">
        <f>H44+H45</f>
        <v>516.9</v>
      </c>
      <c r="J42" s="19"/>
    </row>
    <row r="43" spans="1:10">
      <c r="A43" s="173" t="s">
        <v>250</v>
      </c>
      <c r="B43" s="56">
        <v>103</v>
      </c>
      <c r="C43" s="26" t="s">
        <v>40</v>
      </c>
      <c r="D43" s="26" t="s">
        <v>58</v>
      </c>
      <c r="E43" s="26" t="s">
        <v>249</v>
      </c>
      <c r="F43" s="26" t="s">
        <v>38</v>
      </c>
      <c r="G43" s="63">
        <f>G44+G45</f>
        <v>496.4</v>
      </c>
      <c r="H43" s="150">
        <f>H44+H45</f>
        <v>516.9</v>
      </c>
      <c r="J43" s="19"/>
    </row>
    <row r="44" spans="1:10" ht="43.5">
      <c r="A44" s="90" t="s">
        <v>47</v>
      </c>
      <c r="B44" s="56">
        <v>103</v>
      </c>
      <c r="C44" s="26" t="s">
        <v>40</v>
      </c>
      <c r="D44" s="26" t="s">
        <v>58</v>
      </c>
      <c r="E44" s="26" t="s">
        <v>249</v>
      </c>
      <c r="F44" s="23" t="s">
        <v>48</v>
      </c>
      <c r="G44" s="63">
        <v>490</v>
      </c>
      <c r="H44" s="150">
        <v>510.5</v>
      </c>
      <c r="J44" s="19"/>
    </row>
    <row r="45" spans="1:10">
      <c r="A45" s="90" t="s">
        <v>53</v>
      </c>
      <c r="B45" s="56">
        <v>103</v>
      </c>
      <c r="C45" s="26" t="s">
        <v>40</v>
      </c>
      <c r="D45" s="26" t="s">
        <v>58</v>
      </c>
      <c r="E45" s="26" t="s">
        <v>249</v>
      </c>
      <c r="F45" s="23" t="s">
        <v>54</v>
      </c>
      <c r="G45" s="63">
        <v>6.4</v>
      </c>
      <c r="H45" s="150">
        <v>6.4</v>
      </c>
      <c r="J45" s="19"/>
    </row>
    <row r="46" spans="1:10">
      <c r="A46" s="90" t="s">
        <v>73</v>
      </c>
      <c r="B46" s="56">
        <v>103</v>
      </c>
      <c r="C46" s="27" t="s">
        <v>40</v>
      </c>
      <c r="D46" s="25" t="s">
        <v>58</v>
      </c>
      <c r="E46" s="24" t="s">
        <v>74</v>
      </c>
      <c r="F46" s="27" t="s">
        <v>38</v>
      </c>
      <c r="G46" s="115">
        <f>G47</f>
        <v>286</v>
      </c>
      <c r="H46" s="179">
        <f>H47</f>
        <v>351</v>
      </c>
      <c r="J46" s="19"/>
    </row>
    <row r="47" spans="1:10">
      <c r="A47" s="90" t="s">
        <v>75</v>
      </c>
      <c r="B47" s="56">
        <v>103</v>
      </c>
      <c r="C47" s="27" t="s">
        <v>40</v>
      </c>
      <c r="D47" s="25" t="s">
        <v>58</v>
      </c>
      <c r="E47" s="24" t="s">
        <v>76</v>
      </c>
      <c r="F47" s="24" t="s">
        <v>38</v>
      </c>
      <c r="G47" s="115">
        <f>G48</f>
        <v>286</v>
      </c>
      <c r="H47" s="179">
        <f>H48</f>
        <v>351</v>
      </c>
      <c r="J47" s="19"/>
    </row>
    <row r="48" spans="1:10" ht="43.5">
      <c r="A48" s="90" t="s">
        <v>47</v>
      </c>
      <c r="B48" s="56">
        <v>103</v>
      </c>
      <c r="C48" s="27" t="s">
        <v>40</v>
      </c>
      <c r="D48" s="25" t="s">
        <v>58</v>
      </c>
      <c r="E48" s="24" t="s">
        <v>76</v>
      </c>
      <c r="F48" s="23" t="s">
        <v>48</v>
      </c>
      <c r="G48" s="115">
        <f>347-61</f>
        <v>286</v>
      </c>
      <c r="H48" s="179">
        <f>Лист4!G65</f>
        <v>351</v>
      </c>
      <c r="J48" s="19"/>
    </row>
    <row r="49" spans="1:10">
      <c r="A49" s="174" t="s">
        <v>239</v>
      </c>
      <c r="B49" s="56">
        <v>103</v>
      </c>
      <c r="C49" s="26" t="s">
        <v>40</v>
      </c>
      <c r="D49" s="26" t="s">
        <v>58</v>
      </c>
      <c r="E49" s="26" t="s">
        <v>241</v>
      </c>
      <c r="F49" s="23" t="s">
        <v>38</v>
      </c>
      <c r="G49" s="63">
        <f>G50+G53+G56+G59+G61</f>
        <v>1347.98</v>
      </c>
      <c r="H49" s="63">
        <f>H50+H53+H56+H59+H61</f>
        <v>1440.5</v>
      </c>
      <c r="J49" s="19"/>
    </row>
    <row r="50" spans="1:10" ht="29.25">
      <c r="A50" s="90" t="s">
        <v>78</v>
      </c>
      <c r="B50" s="56">
        <v>103</v>
      </c>
      <c r="C50" s="26" t="s">
        <v>40</v>
      </c>
      <c r="D50" s="26" t="s">
        <v>58</v>
      </c>
      <c r="E50" s="26" t="s">
        <v>245</v>
      </c>
      <c r="F50" s="26" t="s">
        <v>38</v>
      </c>
      <c r="G50" s="63">
        <f>G51+G52</f>
        <v>284.2</v>
      </c>
      <c r="H50" s="150">
        <f>H51+H52</f>
        <v>296</v>
      </c>
      <c r="J50" s="19"/>
    </row>
    <row r="51" spans="1:10" ht="43.5">
      <c r="A51" s="90" t="s">
        <v>47</v>
      </c>
      <c r="B51" s="56">
        <v>103</v>
      </c>
      <c r="C51" s="26" t="s">
        <v>40</v>
      </c>
      <c r="D51" s="26" t="s">
        <v>58</v>
      </c>
      <c r="E51" s="26" t="s">
        <v>245</v>
      </c>
      <c r="F51" s="23" t="s">
        <v>48</v>
      </c>
      <c r="G51" s="63">
        <v>283.5</v>
      </c>
      <c r="H51" s="150">
        <v>295.3</v>
      </c>
      <c r="J51" s="19"/>
    </row>
    <row r="52" spans="1:10">
      <c r="A52" s="90" t="s">
        <v>53</v>
      </c>
      <c r="B52" s="56">
        <v>103</v>
      </c>
      <c r="C52" s="26" t="s">
        <v>40</v>
      </c>
      <c r="D52" s="26" t="s">
        <v>58</v>
      </c>
      <c r="E52" s="26" t="s">
        <v>245</v>
      </c>
      <c r="F52" s="23" t="s">
        <v>54</v>
      </c>
      <c r="G52" s="63">
        <f>Лист4!F69</f>
        <v>0.7</v>
      </c>
      <c r="H52" s="150">
        <v>0.7</v>
      </c>
      <c r="J52" s="19"/>
    </row>
    <row r="53" spans="1:10" ht="29.25">
      <c r="A53" s="90" t="s">
        <v>79</v>
      </c>
      <c r="B53" s="56">
        <v>103</v>
      </c>
      <c r="C53" s="26" t="s">
        <v>40</v>
      </c>
      <c r="D53" s="26" t="s">
        <v>58</v>
      </c>
      <c r="E53" s="26" t="s">
        <v>246</v>
      </c>
      <c r="F53" s="26" t="s">
        <v>38</v>
      </c>
      <c r="G53" s="63">
        <f>G54+G55</f>
        <v>254.6</v>
      </c>
      <c r="H53" s="150">
        <f>H54+H55</f>
        <v>264.7</v>
      </c>
      <c r="J53" s="19"/>
    </row>
    <row r="54" spans="1:10" ht="43.5">
      <c r="A54" s="90" t="s">
        <v>47</v>
      </c>
      <c r="B54" s="56">
        <v>103</v>
      </c>
      <c r="C54" s="26" t="s">
        <v>40</v>
      </c>
      <c r="D54" s="26" t="s">
        <v>58</v>
      </c>
      <c r="E54" s="26" t="s">
        <v>246</v>
      </c>
      <c r="F54" s="23" t="s">
        <v>48</v>
      </c>
      <c r="G54" s="63">
        <v>253.9</v>
      </c>
      <c r="H54" s="150">
        <v>264</v>
      </c>
      <c r="J54" s="19"/>
    </row>
    <row r="55" spans="1:10">
      <c r="A55" s="90" t="s">
        <v>53</v>
      </c>
      <c r="B55" s="56">
        <v>103</v>
      </c>
      <c r="C55" s="26" t="s">
        <v>40</v>
      </c>
      <c r="D55" s="26" t="s">
        <v>58</v>
      </c>
      <c r="E55" s="26" t="s">
        <v>246</v>
      </c>
      <c r="F55" s="23" t="s">
        <v>54</v>
      </c>
      <c r="G55" s="63">
        <v>0.7</v>
      </c>
      <c r="H55" s="150">
        <v>0.7</v>
      </c>
      <c r="J55" s="19"/>
    </row>
    <row r="56" spans="1:10">
      <c r="A56" s="173" t="s">
        <v>80</v>
      </c>
      <c r="B56" s="56">
        <v>103</v>
      </c>
      <c r="C56" s="26" t="s">
        <v>40</v>
      </c>
      <c r="D56" s="26" t="s">
        <v>58</v>
      </c>
      <c r="E56" s="26" t="s">
        <v>251</v>
      </c>
      <c r="F56" s="26" t="s">
        <v>38</v>
      </c>
      <c r="G56" s="63">
        <f>G57+G58</f>
        <v>42.9</v>
      </c>
      <c r="H56" s="150">
        <f>H57+H58</f>
        <v>44.5</v>
      </c>
      <c r="J56" s="19"/>
    </row>
    <row r="57" spans="1:10" ht="43.5">
      <c r="A57" s="90" t="s">
        <v>47</v>
      </c>
      <c r="B57" s="56">
        <v>103</v>
      </c>
      <c r="C57" s="26" t="s">
        <v>40</v>
      </c>
      <c r="D57" s="26" t="s">
        <v>58</v>
      </c>
      <c r="E57" s="26" t="s">
        <v>251</v>
      </c>
      <c r="F57" s="23" t="s">
        <v>48</v>
      </c>
      <c r="G57" s="63">
        <v>1</v>
      </c>
      <c r="H57" s="150">
        <v>1</v>
      </c>
      <c r="J57" s="19"/>
    </row>
    <row r="58" spans="1:10">
      <c r="A58" s="90" t="s">
        <v>53</v>
      </c>
      <c r="B58" s="56">
        <v>103</v>
      </c>
      <c r="C58" s="26" t="s">
        <v>40</v>
      </c>
      <c r="D58" s="26" t="s">
        <v>58</v>
      </c>
      <c r="E58" s="26" t="s">
        <v>251</v>
      </c>
      <c r="F58" s="23" t="s">
        <v>54</v>
      </c>
      <c r="G58" s="63">
        <v>41.9</v>
      </c>
      <c r="H58" s="150">
        <v>43.5</v>
      </c>
      <c r="J58" s="19"/>
    </row>
    <row r="59" spans="1:10" ht="29.25">
      <c r="A59" s="90" t="s">
        <v>207</v>
      </c>
      <c r="B59" s="43" t="s">
        <v>62</v>
      </c>
      <c r="C59" s="23" t="s">
        <v>40</v>
      </c>
      <c r="D59" s="23" t="s">
        <v>58</v>
      </c>
      <c r="E59" s="23" t="s">
        <v>252</v>
      </c>
      <c r="F59" s="23" t="s">
        <v>38</v>
      </c>
      <c r="G59" s="37">
        <f>G60</f>
        <v>0.38</v>
      </c>
      <c r="H59" s="136">
        <f>H60</f>
        <v>0.4</v>
      </c>
      <c r="J59" s="19"/>
    </row>
    <row r="60" spans="1:10">
      <c r="A60" s="90" t="s">
        <v>53</v>
      </c>
      <c r="B60" s="43" t="s">
        <v>62</v>
      </c>
      <c r="C60" s="23" t="s">
        <v>40</v>
      </c>
      <c r="D60" s="23" t="s">
        <v>58</v>
      </c>
      <c r="E60" s="23" t="s">
        <v>252</v>
      </c>
      <c r="F60" s="23" t="s">
        <v>54</v>
      </c>
      <c r="G60" s="37">
        <v>0.38</v>
      </c>
      <c r="H60" s="150">
        <v>0.4</v>
      </c>
      <c r="J60" s="19"/>
    </row>
    <row r="61" spans="1:10">
      <c r="A61" s="89" t="s">
        <v>213</v>
      </c>
      <c r="B61" s="43" t="s">
        <v>62</v>
      </c>
      <c r="C61" s="25" t="s">
        <v>40</v>
      </c>
      <c r="D61" s="29" t="s">
        <v>58</v>
      </c>
      <c r="E61" s="33" t="s">
        <v>244</v>
      </c>
      <c r="F61" s="26" t="s">
        <v>38</v>
      </c>
      <c r="G61" s="42">
        <f>G62+G63+G64</f>
        <v>765.9</v>
      </c>
      <c r="H61" s="106">
        <f>H62+H63+H64</f>
        <v>834.9</v>
      </c>
      <c r="J61" s="19"/>
    </row>
    <row r="62" spans="1:10" ht="43.5">
      <c r="A62" s="90" t="s">
        <v>47</v>
      </c>
      <c r="B62" s="43" t="s">
        <v>62</v>
      </c>
      <c r="C62" s="25" t="s">
        <v>40</v>
      </c>
      <c r="D62" s="29" t="s">
        <v>58</v>
      </c>
      <c r="E62" s="33" t="s">
        <v>244</v>
      </c>
      <c r="F62" s="23" t="s">
        <v>48</v>
      </c>
      <c r="G62" s="42">
        <v>634.20000000000005</v>
      </c>
      <c r="H62" s="106">
        <v>670</v>
      </c>
      <c r="J62" s="19"/>
    </row>
    <row r="63" spans="1:10">
      <c r="A63" s="90" t="s">
        <v>53</v>
      </c>
      <c r="B63" s="43" t="s">
        <v>62</v>
      </c>
      <c r="C63" s="25" t="s">
        <v>40</v>
      </c>
      <c r="D63" s="29" t="s">
        <v>58</v>
      </c>
      <c r="E63" s="33" t="s">
        <v>244</v>
      </c>
      <c r="F63" s="23" t="s">
        <v>54</v>
      </c>
      <c r="G63" s="42">
        <v>86.4</v>
      </c>
      <c r="H63" s="106">
        <v>119.6</v>
      </c>
      <c r="J63" s="19"/>
    </row>
    <row r="64" spans="1:10">
      <c r="A64" s="87" t="s">
        <v>77</v>
      </c>
      <c r="B64" s="43" t="s">
        <v>62</v>
      </c>
      <c r="C64" s="25" t="s">
        <v>40</v>
      </c>
      <c r="D64" s="29" t="s">
        <v>58</v>
      </c>
      <c r="E64" s="33" t="s">
        <v>244</v>
      </c>
      <c r="F64" s="23" t="s">
        <v>83</v>
      </c>
      <c r="G64" s="42">
        <v>45.3</v>
      </c>
      <c r="H64" s="106">
        <v>45.3</v>
      </c>
      <c r="J64" s="19"/>
    </row>
    <row r="65" spans="1:10">
      <c r="A65" s="97" t="s">
        <v>81</v>
      </c>
      <c r="B65" s="76">
        <v>103</v>
      </c>
      <c r="C65" s="70" t="s">
        <v>43</v>
      </c>
      <c r="D65" s="70" t="s">
        <v>36</v>
      </c>
      <c r="E65" s="71" t="s">
        <v>41</v>
      </c>
      <c r="F65" s="71" t="s">
        <v>38</v>
      </c>
      <c r="G65" s="116">
        <f t="shared" ref="G65:H67" si="4">G66</f>
        <v>1339.7</v>
      </c>
      <c r="H65" s="180">
        <f t="shared" si="4"/>
        <v>1279.2</v>
      </c>
      <c r="J65" s="19"/>
    </row>
    <row r="66" spans="1:10" ht="52.5" customHeight="1">
      <c r="A66" s="173" t="s">
        <v>239</v>
      </c>
      <c r="B66" s="56">
        <v>103</v>
      </c>
      <c r="C66" s="25" t="s">
        <v>43</v>
      </c>
      <c r="D66" s="25" t="s">
        <v>50</v>
      </c>
      <c r="E66" s="26" t="s">
        <v>241</v>
      </c>
      <c r="F66" s="26" t="s">
        <v>38</v>
      </c>
      <c r="G66" s="63">
        <f t="shared" si="4"/>
        <v>1339.7</v>
      </c>
      <c r="H66" s="150">
        <f t="shared" si="4"/>
        <v>1279.2</v>
      </c>
      <c r="J66" s="19"/>
    </row>
    <row r="67" spans="1:10" ht="28.5">
      <c r="A67" s="96" t="s">
        <v>82</v>
      </c>
      <c r="B67" s="56">
        <v>103</v>
      </c>
      <c r="C67" s="25" t="s">
        <v>43</v>
      </c>
      <c r="D67" s="25" t="s">
        <v>50</v>
      </c>
      <c r="E67" s="23" t="s">
        <v>240</v>
      </c>
      <c r="F67" s="26" t="s">
        <v>38</v>
      </c>
      <c r="G67" s="63">
        <f t="shared" si="4"/>
        <v>1339.7</v>
      </c>
      <c r="H67" s="150">
        <f t="shared" si="4"/>
        <v>1279.2</v>
      </c>
      <c r="J67" s="19"/>
    </row>
    <row r="68" spans="1:10">
      <c r="A68" s="87" t="s">
        <v>77</v>
      </c>
      <c r="B68" s="56">
        <v>103</v>
      </c>
      <c r="C68" s="25" t="s">
        <v>43</v>
      </c>
      <c r="D68" s="25" t="s">
        <v>50</v>
      </c>
      <c r="E68" s="23" t="s">
        <v>240</v>
      </c>
      <c r="F68" s="23" t="s">
        <v>83</v>
      </c>
      <c r="G68" s="63">
        <v>1339.7</v>
      </c>
      <c r="H68" s="150">
        <v>1279.2</v>
      </c>
      <c r="J68" s="19"/>
    </row>
    <row r="69" spans="1:10">
      <c r="A69" s="97" t="s">
        <v>197</v>
      </c>
      <c r="B69" s="128">
        <v>103</v>
      </c>
      <c r="C69" s="70" t="s">
        <v>64</v>
      </c>
      <c r="D69" s="70" t="s">
        <v>36</v>
      </c>
      <c r="E69" s="71" t="s">
        <v>41</v>
      </c>
      <c r="F69" s="71" t="s">
        <v>38</v>
      </c>
      <c r="G69" s="78">
        <f>G70+G74</f>
        <v>11592</v>
      </c>
      <c r="H69" s="156">
        <f>H70+H74</f>
        <v>11592</v>
      </c>
      <c r="J69" s="19"/>
    </row>
    <row r="70" spans="1:10">
      <c r="A70" s="96" t="s">
        <v>198</v>
      </c>
      <c r="B70" s="56">
        <v>103</v>
      </c>
      <c r="C70" s="25" t="s">
        <v>64</v>
      </c>
      <c r="D70" s="25" t="s">
        <v>199</v>
      </c>
      <c r="E70" s="26" t="s">
        <v>41</v>
      </c>
      <c r="F70" s="26" t="s">
        <v>38</v>
      </c>
      <c r="G70" s="37">
        <f t="shared" ref="G70:H72" si="5">G71</f>
        <v>692</v>
      </c>
      <c r="H70" s="150">
        <f t="shared" si="5"/>
        <v>692</v>
      </c>
      <c r="J70" s="19"/>
    </row>
    <row r="71" spans="1:10">
      <c r="A71" s="173" t="s">
        <v>239</v>
      </c>
      <c r="B71" s="56">
        <v>103</v>
      </c>
      <c r="C71" s="25" t="s">
        <v>64</v>
      </c>
      <c r="D71" s="25" t="s">
        <v>199</v>
      </c>
      <c r="E71" s="26" t="s">
        <v>241</v>
      </c>
      <c r="F71" s="26" t="s">
        <v>38</v>
      </c>
      <c r="G71" s="37">
        <f t="shared" si="5"/>
        <v>692</v>
      </c>
      <c r="H71" s="150">
        <f t="shared" si="5"/>
        <v>692</v>
      </c>
      <c r="J71" s="19"/>
    </row>
    <row r="72" spans="1:10" ht="42.75">
      <c r="A72" s="96" t="s">
        <v>200</v>
      </c>
      <c r="B72" s="56">
        <v>103</v>
      </c>
      <c r="C72" s="25" t="s">
        <v>64</v>
      </c>
      <c r="D72" s="25" t="s">
        <v>199</v>
      </c>
      <c r="E72" s="26" t="s">
        <v>253</v>
      </c>
      <c r="F72" s="26" t="s">
        <v>38</v>
      </c>
      <c r="G72" s="37">
        <f t="shared" si="5"/>
        <v>692</v>
      </c>
      <c r="H72" s="150">
        <f t="shared" si="5"/>
        <v>692</v>
      </c>
      <c r="J72" s="19"/>
    </row>
    <row r="73" spans="1:10">
      <c r="A73" s="87" t="s">
        <v>53</v>
      </c>
      <c r="B73" s="56">
        <v>103</v>
      </c>
      <c r="C73" s="25" t="s">
        <v>163</v>
      </c>
      <c r="D73" s="25" t="s">
        <v>201</v>
      </c>
      <c r="E73" s="26" t="s">
        <v>253</v>
      </c>
      <c r="F73" s="23" t="s">
        <v>54</v>
      </c>
      <c r="G73" s="37">
        <f>108.2+583.8</f>
        <v>692</v>
      </c>
      <c r="H73" s="150">
        <f>108.2+583.8</f>
        <v>692</v>
      </c>
      <c r="J73" s="19"/>
    </row>
    <row r="74" spans="1:10">
      <c r="A74" s="129" t="s">
        <v>202</v>
      </c>
      <c r="B74" s="130" t="s">
        <v>62</v>
      </c>
      <c r="C74" s="131" t="s">
        <v>64</v>
      </c>
      <c r="D74" s="131" t="s">
        <v>94</v>
      </c>
      <c r="E74" s="132" t="s">
        <v>41</v>
      </c>
      <c r="F74" s="132" t="s">
        <v>38</v>
      </c>
      <c r="G74" s="133">
        <f t="shared" ref="G74:H76" si="6">G75</f>
        <v>10900</v>
      </c>
      <c r="H74" s="158">
        <f t="shared" si="6"/>
        <v>10900</v>
      </c>
      <c r="J74" s="19"/>
    </row>
    <row r="75" spans="1:10">
      <c r="A75" s="87" t="s">
        <v>203</v>
      </c>
      <c r="B75" s="43" t="s">
        <v>62</v>
      </c>
      <c r="C75" s="29" t="s">
        <v>64</v>
      </c>
      <c r="D75" s="29" t="s">
        <v>94</v>
      </c>
      <c r="E75" s="23" t="s">
        <v>204</v>
      </c>
      <c r="F75" s="23" t="s">
        <v>38</v>
      </c>
      <c r="G75" s="37">
        <f t="shared" si="6"/>
        <v>10900</v>
      </c>
      <c r="H75" s="136">
        <f t="shared" si="6"/>
        <v>10900</v>
      </c>
      <c r="J75" s="19"/>
    </row>
    <row r="76" spans="1:10">
      <c r="A76" s="87" t="s">
        <v>205</v>
      </c>
      <c r="B76" s="43" t="s">
        <v>62</v>
      </c>
      <c r="C76" s="29" t="s">
        <v>64</v>
      </c>
      <c r="D76" s="29" t="s">
        <v>94</v>
      </c>
      <c r="E76" s="23" t="s">
        <v>206</v>
      </c>
      <c r="F76" s="23" t="s">
        <v>38</v>
      </c>
      <c r="G76" s="37">
        <f t="shared" si="6"/>
        <v>10900</v>
      </c>
      <c r="H76" s="136">
        <f t="shared" si="6"/>
        <v>10900</v>
      </c>
      <c r="J76" s="19"/>
    </row>
    <row r="77" spans="1:10">
      <c r="A77" s="90" t="s">
        <v>53</v>
      </c>
      <c r="B77" s="43" t="s">
        <v>62</v>
      </c>
      <c r="C77" s="29" t="s">
        <v>64</v>
      </c>
      <c r="D77" s="29" t="s">
        <v>94</v>
      </c>
      <c r="E77" s="23" t="s">
        <v>206</v>
      </c>
      <c r="F77" s="23" t="s">
        <v>54</v>
      </c>
      <c r="G77" s="37">
        <v>10900</v>
      </c>
      <c r="H77" s="150">
        <v>10900</v>
      </c>
      <c r="J77" s="19"/>
    </row>
    <row r="78" spans="1:10">
      <c r="A78" s="98" t="s">
        <v>84</v>
      </c>
      <c r="B78" s="58" t="s">
        <v>62</v>
      </c>
      <c r="C78" s="38" t="s">
        <v>85</v>
      </c>
      <c r="D78" s="38" t="s">
        <v>36</v>
      </c>
      <c r="E78" s="40" t="s">
        <v>41</v>
      </c>
      <c r="F78" s="39" t="s">
        <v>38</v>
      </c>
      <c r="G78" s="117">
        <f t="shared" ref="G78:H82" si="7">G79</f>
        <v>4188</v>
      </c>
      <c r="H78" s="164">
        <f t="shared" si="7"/>
        <v>4188</v>
      </c>
      <c r="J78" s="19"/>
    </row>
    <row r="79" spans="1:10">
      <c r="A79" s="91" t="s">
        <v>86</v>
      </c>
      <c r="B79" s="53" t="s">
        <v>62</v>
      </c>
      <c r="C79" s="30" t="s">
        <v>85</v>
      </c>
      <c r="D79" s="30" t="s">
        <v>50</v>
      </c>
      <c r="E79" s="31" t="s">
        <v>41</v>
      </c>
      <c r="F79" s="32" t="s">
        <v>38</v>
      </c>
      <c r="G79" s="110">
        <f t="shared" si="7"/>
        <v>4188</v>
      </c>
      <c r="H79" s="151">
        <f t="shared" si="7"/>
        <v>4188</v>
      </c>
      <c r="J79" s="19"/>
    </row>
    <row r="80" spans="1:10" ht="29.25">
      <c r="A80" s="99" t="s">
        <v>87</v>
      </c>
      <c r="B80" s="77" t="s">
        <v>62</v>
      </c>
      <c r="C80" s="29" t="s">
        <v>85</v>
      </c>
      <c r="D80" s="29" t="s">
        <v>50</v>
      </c>
      <c r="E80" s="24" t="s">
        <v>88</v>
      </c>
      <c r="F80" s="23" t="s">
        <v>38</v>
      </c>
      <c r="G80" s="63">
        <f t="shared" si="7"/>
        <v>4188</v>
      </c>
      <c r="H80" s="150">
        <f t="shared" si="7"/>
        <v>4188</v>
      </c>
      <c r="J80" s="19"/>
    </row>
    <row r="81" spans="1:10">
      <c r="A81" s="99" t="s">
        <v>89</v>
      </c>
      <c r="B81" s="77" t="s">
        <v>62</v>
      </c>
      <c r="C81" s="29" t="s">
        <v>85</v>
      </c>
      <c r="D81" s="29" t="s">
        <v>50</v>
      </c>
      <c r="E81" s="24" t="s">
        <v>90</v>
      </c>
      <c r="F81" s="23" t="s">
        <v>38</v>
      </c>
      <c r="G81" s="63">
        <f t="shared" si="7"/>
        <v>4188</v>
      </c>
      <c r="H81" s="150">
        <f t="shared" si="7"/>
        <v>4188</v>
      </c>
      <c r="J81" s="19"/>
    </row>
    <row r="82" spans="1:10">
      <c r="A82" s="99" t="s">
        <v>91</v>
      </c>
      <c r="B82" s="77" t="s">
        <v>62</v>
      </c>
      <c r="C82" s="29" t="s">
        <v>85</v>
      </c>
      <c r="D82" s="29" t="s">
        <v>50</v>
      </c>
      <c r="E82" s="24" t="s">
        <v>92</v>
      </c>
      <c r="F82" s="23" t="s">
        <v>38</v>
      </c>
      <c r="G82" s="63">
        <f t="shared" si="7"/>
        <v>4188</v>
      </c>
      <c r="H82" s="150">
        <f t="shared" si="7"/>
        <v>4188</v>
      </c>
      <c r="J82" s="19"/>
    </row>
    <row r="83" spans="1:10">
      <c r="A83" s="90" t="s">
        <v>53</v>
      </c>
      <c r="B83" s="77" t="s">
        <v>62</v>
      </c>
      <c r="C83" s="29" t="s">
        <v>85</v>
      </c>
      <c r="D83" s="29" t="s">
        <v>50</v>
      </c>
      <c r="E83" s="24" t="s">
        <v>92</v>
      </c>
      <c r="F83" s="23" t="s">
        <v>54</v>
      </c>
      <c r="G83" s="63">
        <v>4188</v>
      </c>
      <c r="H83" s="150">
        <v>4188</v>
      </c>
      <c r="J83" s="19"/>
    </row>
    <row r="84" spans="1:10">
      <c r="A84" s="98" t="s">
        <v>93</v>
      </c>
      <c r="B84" s="58" t="s">
        <v>62</v>
      </c>
      <c r="C84" s="39" t="s">
        <v>94</v>
      </c>
      <c r="D84" s="39" t="s">
        <v>36</v>
      </c>
      <c r="E84" s="39" t="s">
        <v>41</v>
      </c>
      <c r="F84" s="39" t="s">
        <v>38</v>
      </c>
      <c r="G84" s="117">
        <f>G87</f>
        <v>262.60000000000002</v>
      </c>
      <c r="H84" s="164">
        <f>H87</f>
        <v>273.8</v>
      </c>
      <c r="J84" s="19"/>
    </row>
    <row r="85" spans="1:10">
      <c r="A85" s="89" t="s">
        <v>95</v>
      </c>
      <c r="B85" s="56" t="s">
        <v>62</v>
      </c>
      <c r="C85" s="26" t="s">
        <v>94</v>
      </c>
      <c r="D85" s="26" t="s">
        <v>96</v>
      </c>
      <c r="E85" s="26" t="s">
        <v>41</v>
      </c>
      <c r="F85" s="26" t="s">
        <v>38</v>
      </c>
      <c r="G85" s="63">
        <f>G87</f>
        <v>262.60000000000002</v>
      </c>
      <c r="H85" s="150">
        <f>H87</f>
        <v>273.8</v>
      </c>
      <c r="J85" s="19"/>
    </row>
    <row r="86" spans="1:10">
      <c r="A86" s="173" t="s">
        <v>266</v>
      </c>
      <c r="B86" s="56" t="s">
        <v>62</v>
      </c>
      <c r="C86" s="26" t="s">
        <v>94</v>
      </c>
      <c r="D86" s="26" t="s">
        <v>96</v>
      </c>
      <c r="E86" s="26" t="s">
        <v>267</v>
      </c>
      <c r="F86" s="26" t="s">
        <v>38</v>
      </c>
      <c r="G86" s="63">
        <f>G87</f>
        <v>262.60000000000002</v>
      </c>
      <c r="H86" s="150">
        <f>H87</f>
        <v>273.8</v>
      </c>
      <c r="J86" s="19"/>
    </row>
    <row r="87" spans="1:10">
      <c r="A87" s="173" t="s">
        <v>268</v>
      </c>
      <c r="B87" s="56" t="s">
        <v>62</v>
      </c>
      <c r="C87" s="26" t="s">
        <v>94</v>
      </c>
      <c r="D87" s="26" t="s">
        <v>96</v>
      </c>
      <c r="E87" s="26" t="s">
        <v>269</v>
      </c>
      <c r="F87" s="26" t="s">
        <v>38</v>
      </c>
      <c r="G87" s="63">
        <f t="shared" ref="G87:H88" si="8">G88</f>
        <v>262.60000000000002</v>
      </c>
      <c r="H87" s="150">
        <f t="shared" si="8"/>
        <v>273.8</v>
      </c>
      <c r="J87" s="19"/>
    </row>
    <row r="88" spans="1:10">
      <c r="A88" s="173" t="s">
        <v>271</v>
      </c>
      <c r="B88" s="56" t="s">
        <v>62</v>
      </c>
      <c r="C88" s="26" t="s">
        <v>94</v>
      </c>
      <c r="D88" s="26" t="s">
        <v>96</v>
      </c>
      <c r="E88" s="26" t="s">
        <v>270</v>
      </c>
      <c r="F88" s="26" t="s">
        <v>38</v>
      </c>
      <c r="G88" s="63">
        <f t="shared" si="8"/>
        <v>262.60000000000002</v>
      </c>
      <c r="H88" s="150">
        <f t="shared" si="8"/>
        <v>273.8</v>
      </c>
      <c r="J88" s="19"/>
    </row>
    <row r="89" spans="1:10">
      <c r="A89" s="90" t="s">
        <v>53</v>
      </c>
      <c r="B89" s="56" t="s">
        <v>62</v>
      </c>
      <c r="C89" s="26" t="s">
        <v>94</v>
      </c>
      <c r="D89" s="26" t="s">
        <v>96</v>
      </c>
      <c r="E89" s="26" t="s">
        <v>270</v>
      </c>
      <c r="F89" s="23" t="s">
        <v>54</v>
      </c>
      <c r="G89" s="63">
        <v>262.60000000000002</v>
      </c>
      <c r="H89" s="150">
        <v>273.8</v>
      </c>
      <c r="J89" s="19"/>
    </row>
    <row r="90" spans="1:10">
      <c r="A90" s="100" t="s">
        <v>97</v>
      </c>
      <c r="B90" s="55" t="s">
        <v>98</v>
      </c>
      <c r="C90" s="52" t="s">
        <v>36</v>
      </c>
      <c r="D90" s="52" t="s">
        <v>36</v>
      </c>
      <c r="E90" s="52" t="s">
        <v>41</v>
      </c>
      <c r="F90" s="52" t="s">
        <v>38</v>
      </c>
      <c r="G90" s="118">
        <f>G92</f>
        <v>1083.5</v>
      </c>
      <c r="H90" s="181">
        <f>H92</f>
        <v>1043.5</v>
      </c>
      <c r="J90" s="19"/>
    </row>
    <row r="91" spans="1:10">
      <c r="A91" s="49" t="s">
        <v>39</v>
      </c>
      <c r="B91" s="60" t="s">
        <v>98</v>
      </c>
      <c r="C91" s="50" t="s">
        <v>40</v>
      </c>
      <c r="D91" s="50" t="s">
        <v>36</v>
      </c>
      <c r="E91" s="50" t="s">
        <v>41</v>
      </c>
      <c r="F91" s="75" t="s">
        <v>38</v>
      </c>
      <c r="G91" s="112">
        <f t="shared" ref="G91:H93" si="9">G92</f>
        <v>1083.5</v>
      </c>
      <c r="H91" s="148">
        <f t="shared" si="9"/>
        <v>1043.5</v>
      </c>
      <c r="J91" s="19"/>
    </row>
    <row r="92" spans="1:10" ht="30">
      <c r="A92" s="93" t="s">
        <v>99</v>
      </c>
      <c r="B92" s="53" t="s">
        <v>98</v>
      </c>
      <c r="C92" s="35" t="s">
        <v>40</v>
      </c>
      <c r="D92" s="35" t="s">
        <v>85</v>
      </c>
      <c r="E92" s="36" t="s">
        <v>41</v>
      </c>
      <c r="F92" s="36" t="s">
        <v>38</v>
      </c>
      <c r="G92" s="110">
        <f t="shared" si="9"/>
        <v>1083.5</v>
      </c>
      <c r="H92" s="151">
        <f t="shared" si="9"/>
        <v>1043.5</v>
      </c>
      <c r="J92" s="19"/>
    </row>
    <row r="93" spans="1:10" ht="29.25">
      <c r="A93" s="89" t="s">
        <v>44</v>
      </c>
      <c r="B93" s="56" t="s">
        <v>98</v>
      </c>
      <c r="C93" s="25" t="s">
        <v>40</v>
      </c>
      <c r="D93" s="25" t="s">
        <v>85</v>
      </c>
      <c r="E93" s="26" t="s">
        <v>45</v>
      </c>
      <c r="F93" s="26" t="s">
        <v>38</v>
      </c>
      <c r="G93" s="63">
        <f t="shared" si="9"/>
        <v>1083.5</v>
      </c>
      <c r="H93" s="150">
        <f t="shared" si="9"/>
        <v>1043.5</v>
      </c>
      <c r="J93" s="19"/>
    </row>
    <row r="94" spans="1:10">
      <c r="A94" s="96" t="s">
        <v>65</v>
      </c>
      <c r="B94" s="43" t="s">
        <v>98</v>
      </c>
      <c r="C94" s="25" t="s">
        <v>40</v>
      </c>
      <c r="D94" s="25" t="s">
        <v>85</v>
      </c>
      <c r="E94" s="26" t="s">
        <v>52</v>
      </c>
      <c r="F94" s="26" t="s">
        <v>38</v>
      </c>
      <c r="G94" s="63">
        <f>G95+G96+G97</f>
        <v>1083.5</v>
      </c>
      <c r="H94" s="150">
        <f>H95+H96+H97</f>
        <v>1043.5</v>
      </c>
      <c r="J94" s="19"/>
    </row>
    <row r="95" spans="1:10" ht="43.5">
      <c r="A95" s="90" t="s">
        <v>47</v>
      </c>
      <c r="B95" s="57" t="s">
        <v>98</v>
      </c>
      <c r="C95" s="25" t="s">
        <v>40</v>
      </c>
      <c r="D95" s="25" t="s">
        <v>85</v>
      </c>
      <c r="E95" s="26" t="s">
        <v>52</v>
      </c>
      <c r="F95" s="23" t="s">
        <v>48</v>
      </c>
      <c r="G95" s="63">
        <v>835</v>
      </c>
      <c r="H95" s="150">
        <v>835</v>
      </c>
      <c r="J95" s="19"/>
    </row>
    <row r="96" spans="1:10">
      <c r="A96" s="90" t="s">
        <v>53</v>
      </c>
      <c r="B96" s="57" t="s">
        <v>98</v>
      </c>
      <c r="C96" s="25" t="s">
        <v>40</v>
      </c>
      <c r="D96" s="25" t="s">
        <v>85</v>
      </c>
      <c r="E96" s="26" t="s">
        <v>52</v>
      </c>
      <c r="F96" s="23" t="s">
        <v>54</v>
      </c>
      <c r="G96" s="63">
        <v>240</v>
      </c>
      <c r="H96" s="150">
        <f>-40+240</f>
        <v>200</v>
      </c>
      <c r="J96" s="19"/>
    </row>
    <row r="97" spans="1:10">
      <c r="A97" s="90" t="s">
        <v>55</v>
      </c>
      <c r="B97" s="57" t="s">
        <v>98</v>
      </c>
      <c r="C97" s="25" t="s">
        <v>40</v>
      </c>
      <c r="D97" s="25" t="s">
        <v>85</v>
      </c>
      <c r="E97" s="26" t="s">
        <v>52</v>
      </c>
      <c r="F97" s="23" t="s">
        <v>56</v>
      </c>
      <c r="G97" s="63">
        <f>8.5</f>
        <v>8.5</v>
      </c>
      <c r="H97" s="150">
        <f>8.5</f>
        <v>8.5</v>
      </c>
      <c r="J97" s="19"/>
    </row>
    <row r="98" spans="1:10" ht="30">
      <c r="A98" s="100" t="s">
        <v>100</v>
      </c>
      <c r="B98" s="55" t="s">
        <v>193</v>
      </c>
      <c r="C98" s="51" t="s">
        <v>36</v>
      </c>
      <c r="D98" s="51" t="s">
        <v>36</v>
      </c>
      <c r="E98" s="51" t="s">
        <v>41</v>
      </c>
      <c r="F98" s="51" t="s">
        <v>38</v>
      </c>
      <c r="G98" s="111">
        <f t="shared" ref="G98:H100" si="10">G99</f>
        <v>2714.47</v>
      </c>
      <c r="H98" s="177">
        <f t="shared" si="10"/>
        <v>2262.1699999999996</v>
      </c>
      <c r="J98" s="19"/>
    </row>
    <row r="99" spans="1:10">
      <c r="A99" s="49" t="s">
        <v>39</v>
      </c>
      <c r="B99" s="60" t="s">
        <v>193</v>
      </c>
      <c r="C99" s="50" t="s">
        <v>40</v>
      </c>
      <c r="D99" s="50" t="s">
        <v>36</v>
      </c>
      <c r="E99" s="50" t="s">
        <v>41</v>
      </c>
      <c r="F99" s="75" t="s">
        <v>38</v>
      </c>
      <c r="G99" s="112">
        <f t="shared" si="10"/>
        <v>2714.47</v>
      </c>
      <c r="H99" s="148">
        <f t="shared" si="10"/>
        <v>2262.1699999999996</v>
      </c>
      <c r="J99" s="19"/>
    </row>
    <row r="100" spans="1:10">
      <c r="A100" s="93" t="s">
        <v>57</v>
      </c>
      <c r="B100" s="53" t="s">
        <v>193</v>
      </c>
      <c r="C100" s="35" t="s">
        <v>40</v>
      </c>
      <c r="D100" s="35" t="s">
        <v>58</v>
      </c>
      <c r="E100" s="36" t="s">
        <v>41</v>
      </c>
      <c r="F100" s="36" t="s">
        <v>38</v>
      </c>
      <c r="G100" s="110">
        <f t="shared" si="10"/>
        <v>2714.47</v>
      </c>
      <c r="H100" s="151">
        <f t="shared" si="10"/>
        <v>2262.1699999999996</v>
      </c>
      <c r="J100" s="19"/>
    </row>
    <row r="101" spans="1:10" ht="29.25">
      <c r="A101" s="89" t="s">
        <v>44</v>
      </c>
      <c r="B101" s="56" t="s">
        <v>193</v>
      </c>
      <c r="C101" s="25" t="s">
        <v>40</v>
      </c>
      <c r="D101" s="25" t="s">
        <v>58</v>
      </c>
      <c r="E101" s="26" t="s">
        <v>45</v>
      </c>
      <c r="F101" s="26" t="s">
        <v>38</v>
      </c>
      <c r="G101" s="63">
        <f>G102+G105</f>
        <v>2714.47</v>
      </c>
      <c r="H101" s="150">
        <f>H102+H105</f>
        <v>2262.1699999999996</v>
      </c>
      <c r="J101" s="19"/>
    </row>
    <row r="102" spans="1:10">
      <c r="A102" s="96" t="s">
        <v>65</v>
      </c>
      <c r="B102" s="56" t="s">
        <v>193</v>
      </c>
      <c r="C102" s="25" t="s">
        <v>40</v>
      </c>
      <c r="D102" s="25" t="s">
        <v>58</v>
      </c>
      <c r="E102" s="26" t="s">
        <v>52</v>
      </c>
      <c r="F102" s="26" t="s">
        <v>38</v>
      </c>
      <c r="G102" s="63">
        <f>G103+G104</f>
        <v>2696</v>
      </c>
      <c r="H102" s="150">
        <f>H103+H104</f>
        <v>2243.6999999999998</v>
      </c>
      <c r="J102" s="19"/>
    </row>
    <row r="103" spans="1:10" ht="43.5">
      <c r="A103" s="90" t="s">
        <v>47</v>
      </c>
      <c r="B103" s="43" t="s">
        <v>193</v>
      </c>
      <c r="C103" s="25" t="s">
        <v>40</v>
      </c>
      <c r="D103" s="29" t="s">
        <v>58</v>
      </c>
      <c r="E103" s="26" t="s">
        <v>52</v>
      </c>
      <c r="F103" s="23" t="s">
        <v>48</v>
      </c>
      <c r="G103" s="63">
        <v>1434</v>
      </c>
      <c r="H103" s="150">
        <f>-143.9+1434</f>
        <v>1290.0999999999999</v>
      </c>
      <c r="J103" s="19"/>
    </row>
    <row r="104" spans="1:10">
      <c r="A104" s="90" t="s">
        <v>53</v>
      </c>
      <c r="B104" s="57" t="s">
        <v>193</v>
      </c>
      <c r="C104" s="25" t="s">
        <v>40</v>
      </c>
      <c r="D104" s="29" t="s">
        <v>58</v>
      </c>
      <c r="E104" s="26" t="s">
        <v>52</v>
      </c>
      <c r="F104" s="23" t="s">
        <v>54</v>
      </c>
      <c r="G104" s="63">
        <f>1467-205</f>
        <v>1262</v>
      </c>
      <c r="H104" s="150">
        <f>-308.4+1262</f>
        <v>953.6</v>
      </c>
      <c r="J104" s="19"/>
    </row>
    <row r="105" spans="1:10">
      <c r="A105" s="94" t="s">
        <v>59</v>
      </c>
      <c r="B105" s="57" t="s">
        <v>193</v>
      </c>
      <c r="C105" s="23" t="s">
        <v>40</v>
      </c>
      <c r="D105" s="23" t="s">
        <v>58</v>
      </c>
      <c r="E105" s="24" t="s">
        <v>60</v>
      </c>
      <c r="F105" s="24" t="s">
        <v>38</v>
      </c>
      <c r="G105" s="64">
        <f>G106</f>
        <v>18.47</v>
      </c>
      <c r="H105" s="165">
        <f>H106</f>
        <v>18.47</v>
      </c>
      <c r="J105" s="19"/>
    </row>
    <row r="106" spans="1:10">
      <c r="A106" s="90" t="s">
        <v>55</v>
      </c>
      <c r="B106" s="57" t="s">
        <v>193</v>
      </c>
      <c r="C106" s="23" t="s">
        <v>40</v>
      </c>
      <c r="D106" s="23" t="s">
        <v>58</v>
      </c>
      <c r="E106" s="24" t="s">
        <v>60</v>
      </c>
      <c r="F106" s="24" t="s">
        <v>56</v>
      </c>
      <c r="G106" s="64">
        <v>18.47</v>
      </c>
      <c r="H106" s="165">
        <v>18.47</v>
      </c>
      <c r="J106" s="19"/>
    </row>
    <row r="107" spans="1:10" ht="30">
      <c r="A107" s="95" t="s">
        <v>101</v>
      </c>
      <c r="B107" s="55" t="s">
        <v>102</v>
      </c>
      <c r="C107" s="51" t="s">
        <v>36</v>
      </c>
      <c r="D107" s="51" t="s">
        <v>36</v>
      </c>
      <c r="E107" s="51" t="s">
        <v>41</v>
      </c>
      <c r="F107" s="51" t="s">
        <v>38</v>
      </c>
      <c r="G107" s="111">
        <f t="shared" ref="G107:H111" si="11">G108</f>
        <v>1038.5</v>
      </c>
      <c r="H107" s="177">
        <f t="shared" si="11"/>
        <v>1084.5999999999999</v>
      </c>
      <c r="J107" s="19"/>
    </row>
    <row r="108" spans="1:10">
      <c r="A108" s="101" t="s">
        <v>103</v>
      </c>
      <c r="B108" s="58" t="s">
        <v>102</v>
      </c>
      <c r="C108" s="40" t="s">
        <v>50</v>
      </c>
      <c r="D108" s="38" t="s">
        <v>36</v>
      </c>
      <c r="E108" s="40" t="s">
        <v>41</v>
      </c>
      <c r="F108" s="40" t="s">
        <v>38</v>
      </c>
      <c r="G108" s="117">
        <f t="shared" si="11"/>
        <v>1038.5</v>
      </c>
      <c r="H108" s="164">
        <f t="shared" si="11"/>
        <v>1084.5999999999999</v>
      </c>
      <c r="J108" s="19"/>
    </row>
    <row r="109" spans="1:10" ht="29.25">
      <c r="A109" s="89" t="s">
        <v>104</v>
      </c>
      <c r="B109" s="56" t="s">
        <v>102</v>
      </c>
      <c r="C109" s="24" t="s">
        <v>50</v>
      </c>
      <c r="D109" s="29" t="s">
        <v>94</v>
      </c>
      <c r="E109" s="24" t="s">
        <v>41</v>
      </c>
      <c r="F109" s="24" t="s">
        <v>38</v>
      </c>
      <c r="G109" s="63">
        <f t="shared" si="11"/>
        <v>1038.5</v>
      </c>
      <c r="H109" s="150">
        <f t="shared" si="11"/>
        <v>1084.5999999999999</v>
      </c>
      <c r="J109" s="19"/>
    </row>
    <row r="110" spans="1:10">
      <c r="A110" s="89" t="s">
        <v>105</v>
      </c>
      <c r="B110" s="56" t="s">
        <v>102</v>
      </c>
      <c r="C110" s="24" t="s">
        <v>50</v>
      </c>
      <c r="D110" s="29" t="s">
        <v>94</v>
      </c>
      <c r="E110" s="24" t="s">
        <v>106</v>
      </c>
      <c r="F110" s="24" t="s">
        <v>38</v>
      </c>
      <c r="G110" s="63">
        <f t="shared" si="11"/>
        <v>1038.5</v>
      </c>
      <c r="H110" s="150">
        <f t="shared" si="11"/>
        <v>1084.5999999999999</v>
      </c>
      <c r="J110" s="19"/>
    </row>
    <row r="111" spans="1:10" ht="29.25">
      <c r="A111" s="89" t="s">
        <v>107</v>
      </c>
      <c r="B111" s="56" t="s">
        <v>102</v>
      </c>
      <c r="C111" s="24" t="s">
        <v>50</v>
      </c>
      <c r="D111" s="29" t="s">
        <v>94</v>
      </c>
      <c r="E111" s="24" t="s">
        <v>108</v>
      </c>
      <c r="F111" s="24" t="s">
        <v>38</v>
      </c>
      <c r="G111" s="63">
        <f t="shared" si="11"/>
        <v>1038.5</v>
      </c>
      <c r="H111" s="150">
        <f t="shared" si="11"/>
        <v>1084.5999999999999</v>
      </c>
      <c r="J111" s="19"/>
    </row>
    <row r="112" spans="1:10" ht="43.5">
      <c r="A112" s="90" t="s">
        <v>47</v>
      </c>
      <c r="B112" s="57" t="s">
        <v>102</v>
      </c>
      <c r="C112" s="24" t="s">
        <v>50</v>
      </c>
      <c r="D112" s="29" t="s">
        <v>94</v>
      </c>
      <c r="E112" s="24" t="s">
        <v>108</v>
      </c>
      <c r="F112" s="24" t="s">
        <v>48</v>
      </c>
      <c r="G112" s="63">
        <v>1038.5</v>
      </c>
      <c r="H112" s="150">
        <v>1084.5999999999999</v>
      </c>
      <c r="J112" s="19"/>
    </row>
    <row r="113" spans="1:11" ht="30">
      <c r="A113" s="95" t="s">
        <v>109</v>
      </c>
      <c r="B113" s="55" t="s">
        <v>110</v>
      </c>
      <c r="C113" s="51" t="s">
        <v>36</v>
      </c>
      <c r="D113" s="51" t="s">
        <v>36</v>
      </c>
      <c r="E113" s="51" t="s">
        <v>41</v>
      </c>
      <c r="F113" s="51" t="s">
        <v>38</v>
      </c>
      <c r="G113" s="111">
        <f>G114+G123+G162</f>
        <v>358580.20000000007</v>
      </c>
      <c r="H113" s="177">
        <f>H114+H123+H162</f>
        <v>362964.01</v>
      </c>
      <c r="J113" s="19"/>
    </row>
    <row r="114" spans="1:11">
      <c r="A114" s="98" t="s">
        <v>39</v>
      </c>
      <c r="B114" s="58" t="s">
        <v>110</v>
      </c>
      <c r="C114" s="40" t="s">
        <v>40</v>
      </c>
      <c r="D114" s="40" t="s">
        <v>36</v>
      </c>
      <c r="E114" s="40" t="s">
        <v>41</v>
      </c>
      <c r="F114" s="39" t="s">
        <v>38</v>
      </c>
      <c r="G114" s="119">
        <f>G115</f>
        <v>1216.4000000000001</v>
      </c>
      <c r="H114" s="182">
        <f>H115</f>
        <v>1227.9000000000001</v>
      </c>
      <c r="J114" s="19"/>
    </row>
    <row r="115" spans="1:11" ht="45">
      <c r="A115" s="91" t="s">
        <v>63</v>
      </c>
      <c r="B115" s="53" t="s">
        <v>110</v>
      </c>
      <c r="C115" s="35" t="s">
        <v>40</v>
      </c>
      <c r="D115" s="35" t="s">
        <v>64</v>
      </c>
      <c r="E115" s="34" t="s">
        <v>41</v>
      </c>
      <c r="F115" s="36" t="s">
        <v>38</v>
      </c>
      <c r="G115" s="110">
        <f>G116+G120</f>
        <v>1216.4000000000001</v>
      </c>
      <c r="H115" s="151">
        <f>H116+H120</f>
        <v>1227.9000000000001</v>
      </c>
      <c r="J115" s="19"/>
    </row>
    <row r="116" spans="1:11" ht="29.25">
      <c r="A116" s="89" t="s">
        <v>44</v>
      </c>
      <c r="B116" s="56" t="s">
        <v>110</v>
      </c>
      <c r="C116" s="25" t="s">
        <v>40</v>
      </c>
      <c r="D116" s="25" t="s">
        <v>64</v>
      </c>
      <c r="E116" s="26" t="s">
        <v>45</v>
      </c>
      <c r="F116" s="26" t="s">
        <v>38</v>
      </c>
      <c r="G116" s="63">
        <f>G117</f>
        <v>950</v>
      </c>
      <c r="H116" s="150">
        <f>H117</f>
        <v>950</v>
      </c>
      <c r="J116" s="19"/>
    </row>
    <row r="117" spans="1:11">
      <c r="A117" s="96" t="s">
        <v>65</v>
      </c>
      <c r="B117" s="56" t="s">
        <v>110</v>
      </c>
      <c r="C117" s="25" t="s">
        <v>40</v>
      </c>
      <c r="D117" s="25" t="s">
        <v>64</v>
      </c>
      <c r="E117" s="26" t="s">
        <v>52</v>
      </c>
      <c r="F117" s="26" t="s">
        <v>38</v>
      </c>
      <c r="G117" s="63">
        <f>G118+G119</f>
        <v>950</v>
      </c>
      <c r="H117" s="150">
        <f>H118+H119</f>
        <v>950</v>
      </c>
      <c r="J117" s="19"/>
    </row>
    <row r="118" spans="1:11">
      <c r="A118" s="96" t="s">
        <v>66</v>
      </c>
      <c r="B118" s="56" t="s">
        <v>110</v>
      </c>
      <c r="C118" s="25" t="s">
        <v>40</v>
      </c>
      <c r="D118" s="25" t="s">
        <v>64</v>
      </c>
      <c r="E118" s="26" t="s">
        <v>52</v>
      </c>
      <c r="F118" s="23" t="s">
        <v>48</v>
      </c>
      <c r="G118" s="64">
        <v>903</v>
      </c>
      <c r="H118" s="165">
        <v>903</v>
      </c>
      <c r="J118" s="19"/>
    </row>
    <row r="119" spans="1:11">
      <c r="A119" s="90" t="s">
        <v>53</v>
      </c>
      <c r="B119" s="56" t="s">
        <v>110</v>
      </c>
      <c r="C119" s="25" t="s">
        <v>40</v>
      </c>
      <c r="D119" s="25" t="s">
        <v>64</v>
      </c>
      <c r="E119" s="26" t="s">
        <v>52</v>
      </c>
      <c r="F119" s="23" t="s">
        <v>54</v>
      </c>
      <c r="G119" s="64">
        <v>47</v>
      </c>
      <c r="H119" s="165">
        <v>47</v>
      </c>
      <c r="J119" s="19"/>
    </row>
    <row r="120" spans="1:11">
      <c r="A120" s="87" t="s">
        <v>77</v>
      </c>
      <c r="B120" s="43" t="s">
        <v>110</v>
      </c>
      <c r="C120" s="26" t="s">
        <v>40</v>
      </c>
      <c r="D120" s="23" t="s">
        <v>64</v>
      </c>
      <c r="E120" s="26" t="s">
        <v>241</v>
      </c>
      <c r="F120" s="23" t="s">
        <v>38</v>
      </c>
      <c r="G120" s="63">
        <f>G121</f>
        <v>266.39999999999998</v>
      </c>
      <c r="H120" s="150">
        <f>H121</f>
        <v>277.89999999999998</v>
      </c>
      <c r="J120" s="19"/>
    </row>
    <row r="121" spans="1:11">
      <c r="A121" s="87" t="s">
        <v>111</v>
      </c>
      <c r="B121" s="43" t="s">
        <v>110</v>
      </c>
      <c r="C121" s="23" t="s">
        <v>40</v>
      </c>
      <c r="D121" s="23" t="s">
        <v>64</v>
      </c>
      <c r="E121" s="26" t="s">
        <v>242</v>
      </c>
      <c r="F121" s="26" t="s">
        <v>38</v>
      </c>
      <c r="G121" s="63">
        <f>G122</f>
        <v>266.39999999999998</v>
      </c>
      <c r="H121" s="150">
        <f>H122</f>
        <v>277.89999999999998</v>
      </c>
      <c r="J121" s="19"/>
    </row>
    <row r="122" spans="1:11" ht="43.5">
      <c r="A122" s="90" t="s">
        <v>47</v>
      </c>
      <c r="B122" s="57" t="s">
        <v>110</v>
      </c>
      <c r="C122" s="23" t="s">
        <v>40</v>
      </c>
      <c r="D122" s="23" t="s">
        <v>64</v>
      </c>
      <c r="E122" s="26" t="s">
        <v>242</v>
      </c>
      <c r="F122" s="23" t="s">
        <v>48</v>
      </c>
      <c r="G122" s="63">
        <v>266.39999999999998</v>
      </c>
      <c r="H122" s="150">
        <v>277.89999999999998</v>
      </c>
      <c r="J122" s="19"/>
    </row>
    <row r="123" spans="1:11">
      <c r="A123" s="102" t="s">
        <v>112</v>
      </c>
      <c r="B123" s="58" t="s">
        <v>110</v>
      </c>
      <c r="C123" s="38" t="s">
        <v>96</v>
      </c>
      <c r="D123" s="38" t="s">
        <v>36</v>
      </c>
      <c r="E123" s="39" t="s">
        <v>41</v>
      </c>
      <c r="F123" s="39" t="s">
        <v>38</v>
      </c>
      <c r="G123" s="117">
        <f>G124+G132+G145</f>
        <v>350666.30000000005</v>
      </c>
      <c r="H123" s="164">
        <f>H124+H132+H145</f>
        <v>354907.81</v>
      </c>
      <c r="J123" s="19"/>
    </row>
    <row r="124" spans="1:11">
      <c r="A124" s="103" t="s">
        <v>113</v>
      </c>
      <c r="B124" s="74" t="s">
        <v>110</v>
      </c>
      <c r="C124" s="36" t="s">
        <v>96</v>
      </c>
      <c r="D124" s="36" t="s">
        <v>40</v>
      </c>
      <c r="E124" s="36" t="s">
        <v>37</v>
      </c>
      <c r="F124" s="36" t="s">
        <v>38</v>
      </c>
      <c r="G124" s="110">
        <f>G125</f>
        <v>59611</v>
      </c>
      <c r="H124" s="151">
        <f>H125</f>
        <v>59701.8</v>
      </c>
      <c r="J124" s="19"/>
      <c r="K124" s="19"/>
    </row>
    <row r="125" spans="1:11">
      <c r="A125" s="103" t="s">
        <v>114</v>
      </c>
      <c r="B125" s="74" t="s">
        <v>110</v>
      </c>
      <c r="C125" s="36" t="s">
        <v>96</v>
      </c>
      <c r="D125" s="36" t="s">
        <v>40</v>
      </c>
      <c r="E125" s="36" t="s">
        <v>115</v>
      </c>
      <c r="F125" s="36" t="s">
        <v>38</v>
      </c>
      <c r="G125" s="110">
        <f>G126+G128</f>
        <v>59611</v>
      </c>
      <c r="H125" s="151">
        <f>H126+H128</f>
        <v>59701.8</v>
      </c>
      <c r="J125" s="19"/>
    </row>
    <row r="126" spans="1:11">
      <c r="A126" s="104" t="s">
        <v>116</v>
      </c>
      <c r="B126" s="44" t="s">
        <v>110</v>
      </c>
      <c r="C126" s="23" t="s">
        <v>96</v>
      </c>
      <c r="D126" s="23" t="s">
        <v>40</v>
      </c>
      <c r="E126" s="23" t="s">
        <v>117</v>
      </c>
      <c r="F126" s="23" t="s">
        <v>38</v>
      </c>
      <c r="G126" s="64">
        <f>G127</f>
        <v>38604.199999999997</v>
      </c>
      <c r="H126" s="165">
        <f>H127</f>
        <v>38695</v>
      </c>
      <c r="J126" s="19"/>
    </row>
    <row r="127" spans="1:11">
      <c r="A127" s="90" t="s">
        <v>118</v>
      </c>
      <c r="B127" s="44" t="s">
        <v>110</v>
      </c>
      <c r="C127" s="23" t="s">
        <v>96</v>
      </c>
      <c r="D127" s="23" t="s">
        <v>40</v>
      </c>
      <c r="E127" s="23" t="s">
        <v>117</v>
      </c>
      <c r="F127" s="23" t="s">
        <v>119</v>
      </c>
      <c r="G127" s="64">
        <f>1039+37565.2</f>
        <v>38604.199999999997</v>
      </c>
      <c r="H127" s="165">
        <f>40195-1500</f>
        <v>38695</v>
      </c>
      <c r="J127" s="19"/>
    </row>
    <row r="128" spans="1:11">
      <c r="A128" s="173" t="s">
        <v>254</v>
      </c>
      <c r="B128" s="44" t="s">
        <v>110</v>
      </c>
      <c r="C128" s="23" t="s">
        <v>96</v>
      </c>
      <c r="D128" s="26" t="s">
        <v>40</v>
      </c>
      <c r="E128" s="23" t="s">
        <v>255</v>
      </c>
      <c r="F128" s="26" t="s">
        <v>38</v>
      </c>
      <c r="G128" s="63">
        <f t="shared" ref="G128:H130" si="12">G129</f>
        <v>21006.799999999999</v>
      </c>
      <c r="H128" s="150">
        <f t="shared" si="12"/>
        <v>21006.799999999999</v>
      </c>
      <c r="J128" s="19"/>
    </row>
    <row r="129" spans="1:11" ht="29.25">
      <c r="A129" s="174" t="s">
        <v>257</v>
      </c>
      <c r="B129" s="44" t="s">
        <v>110</v>
      </c>
      <c r="C129" s="26" t="s">
        <v>96</v>
      </c>
      <c r="D129" s="26" t="s">
        <v>40</v>
      </c>
      <c r="E129" s="23" t="s">
        <v>258</v>
      </c>
      <c r="F129" s="26" t="s">
        <v>38</v>
      </c>
      <c r="G129" s="63">
        <f t="shared" si="12"/>
        <v>21006.799999999999</v>
      </c>
      <c r="H129" s="150">
        <f t="shared" si="12"/>
        <v>21006.799999999999</v>
      </c>
      <c r="J129" s="19"/>
    </row>
    <row r="130" spans="1:11" ht="33" customHeight="1">
      <c r="A130" s="172" t="s">
        <v>121</v>
      </c>
      <c r="B130" s="44" t="s">
        <v>110</v>
      </c>
      <c r="C130" s="26" t="s">
        <v>96</v>
      </c>
      <c r="D130" s="26" t="s">
        <v>40</v>
      </c>
      <c r="E130" s="23" t="s">
        <v>256</v>
      </c>
      <c r="F130" s="23" t="s">
        <v>38</v>
      </c>
      <c r="G130" s="63">
        <f t="shared" si="12"/>
        <v>21006.799999999999</v>
      </c>
      <c r="H130" s="150">
        <f t="shared" si="12"/>
        <v>21006.799999999999</v>
      </c>
      <c r="J130" s="19"/>
    </row>
    <row r="131" spans="1:11">
      <c r="A131" s="90" t="s">
        <v>118</v>
      </c>
      <c r="B131" s="44" t="s">
        <v>110</v>
      </c>
      <c r="C131" s="26" t="s">
        <v>96</v>
      </c>
      <c r="D131" s="26" t="s">
        <v>40</v>
      </c>
      <c r="E131" s="23" t="s">
        <v>256</v>
      </c>
      <c r="F131" s="23" t="s">
        <v>119</v>
      </c>
      <c r="G131" s="63">
        <v>21006.799999999999</v>
      </c>
      <c r="H131" s="150">
        <v>21006.799999999999</v>
      </c>
      <c r="J131" s="19"/>
    </row>
    <row r="132" spans="1:11">
      <c r="A132" s="93" t="s">
        <v>122</v>
      </c>
      <c r="B132" s="60" t="s">
        <v>110</v>
      </c>
      <c r="C132" s="36" t="s">
        <v>96</v>
      </c>
      <c r="D132" s="36" t="s">
        <v>43</v>
      </c>
      <c r="E132" s="36" t="s">
        <v>41</v>
      </c>
      <c r="F132" s="36" t="s">
        <v>38</v>
      </c>
      <c r="G132" s="110">
        <f>G133+G136+G141</f>
        <v>279438.93000000005</v>
      </c>
      <c r="H132" s="151">
        <f>H133+H136+H141</f>
        <v>283414.11</v>
      </c>
      <c r="J132" s="19"/>
      <c r="K132" s="19"/>
    </row>
    <row r="133" spans="1:11">
      <c r="A133" s="93" t="s">
        <v>123</v>
      </c>
      <c r="B133" s="60" t="s">
        <v>110</v>
      </c>
      <c r="C133" s="36" t="s">
        <v>96</v>
      </c>
      <c r="D133" s="36" t="s">
        <v>43</v>
      </c>
      <c r="E133" s="36" t="s">
        <v>124</v>
      </c>
      <c r="F133" s="36" t="s">
        <v>38</v>
      </c>
      <c r="G133" s="110">
        <f>G134</f>
        <v>152487.53000000003</v>
      </c>
      <c r="H133" s="151">
        <f>H134</f>
        <v>156302.71</v>
      </c>
      <c r="J133" s="19"/>
    </row>
    <row r="134" spans="1:11">
      <c r="A134" s="96" t="s">
        <v>75</v>
      </c>
      <c r="B134" s="44" t="s">
        <v>110</v>
      </c>
      <c r="C134" s="26" t="s">
        <v>96</v>
      </c>
      <c r="D134" s="26" t="s">
        <v>43</v>
      </c>
      <c r="E134" s="26" t="s">
        <v>125</v>
      </c>
      <c r="F134" s="26" t="s">
        <v>38</v>
      </c>
      <c r="G134" s="63">
        <f>G135</f>
        <v>152487.53000000003</v>
      </c>
      <c r="H134" s="150">
        <f>H135</f>
        <v>156302.71</v>
      </c>
      <c r="J134" s="19"/>
    </row>
    <row r="135" spans="1:11">
      <c r="A135" s="90" t="s">
        <v>118</v>
      </c>
      <c r="B135" s="44" t="s">
        <v>110</v>
      </c>
      <c r="C135" s="26" t="s">
        <v>96</v>
      </c>
      <c r="D135" s="26" t="s">
        <v>43</v>
      </c>
      <c r="E135" s="26" t="s">
        <v>125</v>
      </c>
      <c r="F135" s="23" t="s">
        <v>119</v>
      </c>
      <c r="G135" s="63">
        <f>4587.41+145761.1+2138.6+0.42</f>
        <v>152487.53000000003</v>
      </c>
      <c r="H135" s="150">
        <f>-133.29+158587-2000-151</f>
        <v>156302.71</v>
      </c>
      <c r="J135" s="19"/>
    </row>
    <row r="136" spans="1:11">
      <c r="A136" s="93" t="s">
        <v>126</v>
      </c>
      <c r="B136" s="60" t="s">
        <v>110</v>
      </c>
      <c r="C136" s="36" t="s">
        <v>96</v>
      </c>
      <c r="D136" s="36" t="s">
        <v>43</v>
      </c>
      <c r="E136" s="36" t="s">
        <v>127</v>
      </c>
      <c r="F136" s="36" t="s">
        <v>38</v>
      </c>
      <c r="G136" s="110">
        <f t="shared" ref="G136:H138" si="13">G137</f>
        <v>4000</v>
      </c>
      <c r="H136" s="151">
        <f t="shared" si="13"/>
        <v>4160</v>
      </c>
      <c r="J136" s="19"/>
    </row>
    <row r="137" spans="1:11">
      <c r="A137" s="96" t="s">
        <v>126</v>
      </c>
      <c r="B137" s="44" t="s">
        <v>110</v>
      </c>
      <c r="C137" s="26" t="s">
        <v>96</v>
      </c>
      <c r="D137" s="26" t="s">
        <v>43</v>
      </c>
      <c r="E137" s="26" t="s">
        <v>127</v>
      </c>
      <c r="F137" s="26" t="s">
        <v>38</v>
      </c>
      <c r="G137" s="63">
        <f t="shared" si="13"/>
        <v>4000</v>
      </c>
      <c r="H137" s="150">
        <f t="shared" si="13"/>
        <v>4160</v>
      </c>
      <c r="J137" s="19"/>
    </row>
    <row r="138" spans="1:11">
      <c r="A138" s="104" t="s">
        <v>116</v>
      </c>
      <c r="B138" s="44" t="s">
        <v>110</v>
      </c>
      <c r="C138" s="26" t="s">
        <v>96</v>
      </c>
      <c r="D138" s="26" t="s">
        <v>43</v>
      </c>
      <c r="E138" s="23" t="s">
        <v>128</v>
      </c>
      <c r="F138" s="23" t="s">
        <v>38</v>
      </c>
      <c r="G138" s="63">
        <f t="shared" si="13"/>
        <v>4000</v>
      </c>
      <c r="H138" s="150">
        <f t="shared" si="13"/>
        <v>4160</v>
      </c>
      <c r="J138" s="19"/>
    </row>
    <row r="139" spans="1:11" ht="69.75" customHeight="1">
      <c r="A139" s="139" t="s">
        <v>226</v>
      </c>
      <c r="B139" s="44" t="s">
        <v>110</v>
      </c>
      <c r="C139" s="27" t="s">
        <v>96</v>
      </c>
      <c r="D139" s="26" t="s">
        <v>43</v>
      </c>
      <c r="E139" s="23" t="s">
        <v>225</v>
      </c>
      <c r="F139" s="23" t="s">
        <v>38</v>
      </c>
      <c r="G139" s="63">
        <f>G140</f>
        <v>4000</v>
      </c>
      <c r="H139" s="150">
        <f>H140</f>
        <v>4160</v>
      </c>
      <c r="J139" s="19"/>
    </row>
    <row r="140" spans="1:11">
      <c r="A140" s="90" t="s">
        <v>118</v>
      </c>
      <c r="B140" s="44" t="s">
        <v>110</v>
      </c>
      <c r="C140" s="27" t="s">
        <v>96</v>
      </c>
      <c r="D140" s="26" t="s">
        <v>43</v>
      </c>
      <c r="E140" s="23" t="s">
        <v>225</v>
      </c>
      <c r="F140" s="23" t="s">
        <v>119</v>
      </c>
      <c r="G140" s="63">
        <v>4000</v>
      </c>
      <c r="H140" s="150">
        <v>4160</v>
      </c>
      <c r="J140" s="19"/>
    </row>
    <row r="141" spans="1:11" ht="29.25">
      <c r="A141" s="174" t="s">
        <v>254</v>
      </c>
      <c r="B141" s="60" t="s">
        <v>110</v>
      </c>
      <c r="C141" s="34" t="s">
        <v>96</v>
      </c>
      <c r="D141" s="36" t="s">
        <v>43</v>
      </c>
      <c r="E141" s="36" t="s">
        <v>255</v>
      </c>
      <c r="F141" s="36" t="s">
        <v>38</v>
      </c>
      <c r="G141" s="110">
        <f>G142</f>
        <v>122951.4</v>
      </c>
      <c r="H141" s="151">
        <f>H142</f>
        <v>122951.4</v>
      </c>
      <c r="J141" s="19"/>
    </row>
    <row r="142" spans="1:11" ht="29.25">
      <c r="A142" s="172" t="s">
        <v>262</v>
      </c>
      <c r="B142" s="44" t="s">
        <v>110</v>
      </c>
      <c r="C142" s="27" t="s">
        <v>96</v>
      </c>
      <c r="D142" s="26" t="s">
        <v>43</v>
      </c>
      <c r="E142" s="26" t="s">
        <v>259</v>
      </c>
      <c r="F142" s="26" t="s">
        <v>38</v>
      </c>
      <c r="G142" s="63">
        <f>G144</f>
        <v>122951.4</v>
      </c>
      <c r="H142" s="150">
        <f>H144</f>
        <v>122951.4</v>
      </c>
      <c r="J142" s="19"/>
    </row>
    <row r="143" spans="1:11" ht="57.75">
      <c r="A143" s="174" t="s">
        <v>261</v>
      </c>
      <c r="B143" s="176" t="s">
        <v>110</v>
      </c>
      <c r="C143" s="27" t="s">
        <v>96</v>
      </c>
      <c r="D143" s="26" t="s">
        <v>43</v>
      </c>
      <c r="E143" s="26" t="s">
        <v>260</v>
      </c>
      <c r="F143" s="26" t="s">
        <v>38</v>
      </c>
      <c r="G143" s="63">
        <f>G144</f>
        <v>122951.4</v>
      </c>
      <c r="H143" s="150">
        <f>H144</f>
        <v>122951.4</v>
      </c>
      <c r="J143" s="19"/>
    </row>
    <row r="144" spans="1:11">
      <c r="A144" s="90" t="s">
        <v>118</v>
      </c>
      <c r="B144" s="44" t="s">
        <v>110</v>
      </c>
      <c r="C144" s="27" t="s">
        <v>96</v>
      </c>
      <c r="D144" s="26" t="s">
        <v>43</v>
      </c>
      <c r="E144" s="26" t="s">
        <v>260</v>
      </c>
      <c r="F144" s="23" t="s">
        <v>119</v>
      </c>
      <c r="G144" s="63">
        <v>122951.4</v>
      </c>
      <c r="H144" s="150">
        <v>122951.4</v>
      </c>
      <c r="J144" s="19"/>
    </row>
    <row r="145" spans="1:10">
      <c r="A145" s="93" t="s">
        <v>133</v>
      </c>
      <c r="B145" s="60" t="s">
        <v>110</v>
      </c>
      <c r="C145" s="36" t="s">
        <v>96</v>
      </c>
      <c r="D145" s="36" t="s">
        <v>94</v>
      </c>
      <c r="E145" s="36" t="s">
        <v>41</v>
      </c>
      <c r="F145" s="36" t="s">
        <v>38</v>
      </c>
      <c r="G145" s="110">
        <f>G146+G151+G154+G158</f>
        <v>11616.369999999999</v>
      </c>
      <c r="H145" s="151">
        <f>H146+H151+H154+H158</f>
        <v>11791.900000000001</v>
      </c>
      <c r="J145" s="19"/>
    </row>
    <row r="146" spans="1:10">
      <c r="A146" s="91" t="s">
        <v>134</v>
      </c>
      <c r="B146" s="60" t="s">
        <v>110</v>
      </c>
      <c r="C146" s="36" t="s">
        <v>96</v>
      </c>
      <c r="D146" s="36" t="s">
        <v>94</v>
      </c>
      <c r="E146" s="36" t="s">
        <v>135</v>
      </c>
      <c r="F146" s="36" t="s">
        <v>38</v>
      </c>
      <c r="G146" s="110">
        <f>G147</f>
        <v>1180.47</v>
      </c>
      <c r="H146" s="151">
        <f>H147</f>
        <v>1227.7</v>
      </c>
      <c r="J146" s="19"/>
    </row>
    <row r="147" spans="1:10">
      <c r="A147" s="96" t="s">
        <v>75</v>
      </c>
      <c r="B147" s="44" t="s">
        <v>110</v>
      </c>
      <c r="C147" s="26" t="s">
        <v>96</v>
      </c>
      <c r="D147" s="26" t="s">
        <v>94</v>
      </c>
      <c r="E147" s="26" t="s">
        <v>136</v>
      </c>
      <c r="F147" s="26" t="s">
        <v>38</v>
      </c>
      <c r="G147" s="63">
        <f>G148+G149+G150</f>
        <v>1180.47</v>
      </c>
      <c r="H147" s="150">
        <f>H148+H149+H150</f>
        <v>1227.7</v>
      </c>
      <c r="J147" s="19"/>
    </row>
    <row r="148" spans="1:10" ht="43.5">
      <c r="A148" s="90" t="s">
        <v>47</v>
      </c>
      <c r="B148" s="44" t="s">
        <v>110</v>
      </c>
      <c r="C148" s="26" t="s">
        <v>96</v>
      </c>
      <c r="D148" s="26" t="s">
        <v>94</v>
      </c>
      <c r="E148" s="26" t="s">
        <v>136</v>
      </c>
      <c r="F148" s="23" t="s">
        <v>48</v>
      </c>
      <c r="G148" s="63">
        <v>510</v>
      </c>
      <c r="H148" s="150">
        <v>530.29999999999995</v>
      </c>
      <c r="J148" s="19"/>
    </row>
    <row r="149" spans="1:10">
      <c r="A149" s="90" t="s">
        <v>53</v>
      </c>
      <c r="B149" s="44" t="s">
        <v>110</v>
      </c>
      <c r="C149" s="26" t="s">
        <v>96</v>
      </c>
      <c r="D149" s="26" t="s">
        <v>94</v>
      </c>
      <c r="E149" s="26" t="s">
        <v>136</v>
      </c>
      <c r="F149" s="23" t="s">
        <v>54</v>
      </c>
      <c r="G149" s="63">
        <v>660.47</v>
      </c>
      <c r="H149" s="150">
        <v>687</v>
      </c>
      <c r="J149" s="19"/>
    </row>
    <row r="150" spans="1:10">
      <c r="A150" s="90" t="s">
        <v>55</v>
      </c>
      <c r="B150" s="44" t="s">
        <v>110</v>
      </c>
      <c r="C150" s="26" t="s">
        <v>96</v>
      </c>
      <c r="D150" s="26" t="s">
        <v>94</v>
      </c>
      <c r="E150" s="26" t="s">
        <v>136</v>
      </c>
      <c r="F150" s="23" t="s">
        <v>56</v>
      </c>
      <c r="G150" s="63">
        <f>3.79+6.21</f>
        <v>10</v>
      </c>
      <c r="H150" s="150">
        <v>10.4</v>
      </c>
      <c r="J150" s="19"/>
    </row>
    <row r="151" spans="1:10">
      <c r="A151" s="93" t="s">
        <v>137</v>
      </c>
      <c r="B151" s="60" t="s">
        <v>110</v>
      </c>
      <c r="C151" s="36" t="s">
        <v>96</v>
      </c>
      <c r="D151" s="36" t="s">
        <v>94</v>
      </c>
      <c r="E151" s="36" t="s">
        <v>138</v>
      </c>
      <c r="F151" s="36" t="s">
        <v>38</v>
      </c>
      <c r="G151" s="110">
        <f>G152</f>
        <v>1677.6</v>
      </c>
      <c r="H151" s="151">
        <f>H152</f>
        <v>1444.7</v>
      </c>
      <c r="J151" s="19"/>
    </row>
    <row r="152" spans="1:10">
      <c r="A152" s="96" t="s">
        <v>139</v>
      </c>
      <c r="B152" s="44" t="s">
        <v>110</v>
      </c>
      <c r="C152" s="26" t="s">
        <v>96</v>
      </c>
      <c r="D152" s="26" t="s">
        <v>94</v>
      </c>
      <c r="E152" s="26" t="s">
        <v>140</v>
      </c>
      <c r="F152" s="26" t="s">
        <v>38</v>
      </c>
      <c r="G152" s="63">
        <f>G153</f>
        <v>1677.6</v>
      </c>
      <c r="H152" s="150">
        <f>H153</f>
        <v>1444.7</v>
      </c>
      <c r="J152" s="19"/>
    </row>
    <row r="153" spans="1:10">
      <c r="A153" s="90" t="s">
        <v>53</v>
      </c>
      <c r="B153" s="44" t="s">
        <v>110</v>
      </c>
      <c r="C153" s="26" t="s">
        <v>96</v>
      </c>
      <c r="D153" s="26" t="s">
        <v>94</v>
      </c>
      <c r="E153" s="26" t="s">
        <v>140</v>
      </c>
      <c r="F153" s="23" t="s">
        <v>54</v>
      </c>
      <c r="G153" s="63">
        <v>1677.6</v>
      </c>
      <c r="H153" s="150">
        <f>-300+1744.7</f>
        <v>1444.7</v>
      </c>
      <c r="J153" s="19"/>
    </row>
    <row r="154" spans="1:10" ht="45">
      <c r="A154" s="91" t="s">
        <v>141</v>
      </c>
      <c r="B154" s="60" t="s">
        <v>110</v>
      </c>
      <c r="C154" s="36" t="s">
        <v>96</v>
      </c>
      <c r="D154" s="36" t="s">
        <v>94</v>
      </c>
      <c r="E154" s="36" t="s">
        <v>142</v>
      </c>
      <c r="F154" s="36" t="s">
        <v>38</v>
      </c>
      <c r="G154" s="110">
        <f>G155</f>
        <v>4562.7</v>
      </c>
      <c r="H154" s="151">
        <f>H155</f>
        <v>4744.8</v>
      </c>
      <c r="J154" s="19"/>
    </row>
    <row r="155" spans="1:10">
      <c r="A155" s="89" t="s">
        <v>75</v>
      </c>
      <c r="B155" s="44" t="s">
        <v>110</v>
      </c>
      <c r="C155" s="26" t="s">
        <v>96</v>
      </c>
      <c r="D155" s="26" t="s">
        <v>94</v>
      </c>
      <c r="E155" s="26" t="s">
        <v>143</v>
      </c>
      <c r="F155" s="26" t="s">
        <v>38</v>
      </c>
      <c r="G155" s="63">
        <f>G156+G157</f>
        <v>4562.7</v>
      </c>
      <c r="H155" s="150">
        <f>H156+H157</f>
        <v>4744.8</v>
      </c>
      <c r="J155" s="19"/>
    </row>
    <row r="156" spans="1:10" ht="43.5">
      <c r="A156" s="90" t="s">
        <v>47</v>
      </c>
      <c r="B156" s="44" t="s">
        <v>110</v>
      </c>
      <c r="C156" s="26" t="s">
        <v>96</v>
      </c>
      <c r="D156" s="26" t="s">
        <v>94</v>
      </c>
      <c r="E156" s="26" t="s">
        <v>143</v>
      </c>
      <c r="F156" s="23" t="s">
        <v>48</v>
      </c>
      <c r="G156" s="63">
        <v>3927.7</v>
      </c>
      <c r="H156" s="150">
        <v>4084.8</v>
      </c>
      <c r="J156" s="19"/>
    </row>
    <row r="157" spans="1:10">
      <c r="A157" s="90" t="s">
        <v>53</v>
      </c>
      <c r="B157" s="44" t="s">
        <v>110</v>
      </c>
      <c r="C157" s="26" t="s">
        <v>96</v>
      </c>
      <c r="D157" s="26" t="s">
        <v>94</v>
      </c>
      <c r="E157" s="26" t="s">
        <v>143</v>
      </c>
      <c r="F157" s="23" t="s">
        <v>54</v>
      </c>
      <c r="G157" s="63">
        <v>635</v>
      </c>
      <c r="H157" s="150">
        <v>660</v>
      </c>
      <c r="J157" s="19"/>
    </row>
    <row r="158" spans="1:10" ht="31.5">
      <c r="A158" s="191" t="s">
        <v>262</v>
      </c>
      <c r="B158" s="60" t="s">
        <v>110</v>
      </c>
      <c r="C158" s="36" t="s">
        <v>96</v>
      </c>
      <c r="D158" s="36" t="s">
        <v>94</v>
      </c>
      <c r="E158" s="36" t="s">
        <v>259</v>
      </c>
      <c r="F158" s="36" t="s">
        <v>38</v>
      </c>
      <c r="G158" s="110">
        <f>G160</f>
        <v>4195.6000000000004</v>
      </c>
      <c r="H158" s="151">
        <f>H160</f>
        <v>4374.7</v>
      </c>
      <c r="J158" s="19"/>
    </row>
    <row r="159" spans="1:10" ht="21" customHeight="1">
      <c r="A159" s="175" t="s">
        <v>264</v>
      </c>
      <c r="B159" s="60" t="s">
        <v>110</v>
      </c>
      <c r="C159" s="36" t="s">
        <v>96</v>
      </c>
      <c r="D159" s="36" t="s">
        <v>94</v>
      </c>
      <c r="E159" s="36" t="s">
        <v>263</v>
      </c>
      <c r="F159" s="36" t="s">
        <v>38</v>
      </c>
      <c r="G159" s="110">
        <f>G160</f>
        <v>4195.6000000000004</v>
      </c>
      <c r="H159" s="151">
        <f>H160</f>
        <v>4374.7</v>
      </c>
      <c r="J159" s="19"/>
    </row>
    <row r="160" spans="1:10" ht="43.5">
      <c r="A160" s="90" t="s">
        <v>47</v>
      </c>
      <c r="B160" s="44" t="s">
        <v>110</v>
      </c>
      <c r="C160" s="23" t="s">
        <v>96</v>
      </c>
      <c r="D160" s="23" t="s">
        <v>94</v>
      </c>
      <c r="E160" s="23" t="s">
        <v>263</v>
      </c>
      <c r="F160" s="36" t="s">
        <v>48</v>
      </c>
      <c r="G160" s="63">
        <f>G161</f>
        <v>4195.6000000000004</v>
      </c>
      <c r="H160" s="150">
        <f>H161</f>
        <v>4374.7</v>
      </c>
      <c r="J160" s="19"/>
    </row>
    <row r="161" spans="1:10">
      <c r="A161" s="90" t="s">
        <v>53</v>
      </c>
      <c r="B161" s="44" t="s">
        <v>110</v>
      </c>
      <c r="C161" s="23" t="s">
        <v>96</v>
      </c>
      <c r="D161" s="23" t="s">
        <v>94</v>
      </c>
      <c r="E161" s="23" t="s">
        <v>263</v>
      </c>
      <c r="F161" s="36" t="s">
        <v>54</v>
      </c>
      <c r="G161" s="63">
        <v>4195.6000000000004</v>
      </c>
      <c r="H161" s="150">
        <v>4374.7</v>
      </c>
      <c r="J161" s="19"/>
    </row>
    <row r="162" spans="1:10">
      <c r="A162" s="102" t="s">
        <v>144</v>
      </c>
      <c r="B162" s="58" t="s">
        <v>110</v>
      </c>
      <c r="C162" s="39" t="s">
        <v>145</v>
      </c>
      <c r="D162" s="39" t="s">
        <v>36</v>
      </c>
      <c r="E162" s="39" t="s">
        <v>41</v>
      </c>
      <c r="F162" s="39" t="s">
        <v>38</v>
      </c>
      <c r="G162" s="117">
        <f>G164+G166</f>
        <v>6697.5</v>
      </c>
      <c r="H162" s="164">
        <f>H164+H166</f>
        <v>6828.3</v>
      </c>
      <c r="J162" s="19"/>
    </row>
    <row r="163" spans="1:10">
      <c r="A163" s="105" t="s">
        <v>146</v>
      </c>
      <c r="B163" s="44" t="s">
        <v>110</v>
      </c>
      <c r="C163" s="33" t="s">
        <v>145</v>
      </c>
      <c r="D163" s="33" t="s">
        <v>50</v>
      </c>
      <c r="E163" s="33" t="s">
        <v>41</v>
      </c>
      <c r="F163" s="33" t="s">
        <v>38</v>
      </c>
      <c r="G163" s="120">
        <f>G164</f>
        <v>3042.7</v>
      </c>
      <c r="H163" s="183">
        <f>H164</f>
        <v>3173.5</v>
      </c>
      <c r="J163" s="19"/>
    </row>
    <row r="164" spans="1:10">
      <c r="A164" s="87" t="s">
        <v>147</v>
      </c>
      <c r="B164" s="43" t="s">
        <v>110</v>
      </c>
      <c r="C164" s="27" t="s">
        <v>145</v>
      </c>
      <c r="D164" s="27" t="s">
        <v>50</v>
      </c>
      <c r="E164" s="23" t="s">
        <v>148</v>
      </c>
      <c r="F164" s="26" t="s">
        <v>38</v>
      </c>
      <c r="G164" s="64">
        <f>G165</f>
        <v>3042.7</v>
      </c>
      <c r="H164" s="165">
        <f>H165</f>
        <v>3173.5</v>
      </c>
      <c r="J164" s="19"/>
    </row>
    <row r="165" spans="1:10">
      <c r="A165" s="89" t="s">
        <v>118</v>
      </c>
      <c r="B165" s="43" t="s">
        <v>110</v>
      </c>
      <c r="C165" s="27" t="s">
        <v>145</v>
      </c>
      <c r="D165" s="27" t="s">
        <v>50</v>
      </c>
      <c r="E165" s="23" t="s">
        <v>148</v>
      </c>
      <c r="F165" s="23" t="s">
        <v>119</v>
      </c>
      <c r="G165" s="64">
        <v>3042.7</v>
      </c>
      <c r="H165" s="165">
        <v>3173.5</v>
      </c>
      <c r="J165" s="19"/>
    </row>
    <row r="166" spans="1:10">
      <c r="A166" s="87" t="s">
        <v>208</v>
      </c>
      <c r="B166" s="43" t="s">
        <v>110</v>
      </c>
      <c r="C166" s="24" t="s">
        <v>145</v>
      </c>
      <c r="D166" s="24" t="s">
        <v>64</v>
      </c>
      <c r="E166" s="23" t="s">
        <v>37</v>
      </c>
      <c r="F166" s="23" t="s">
        <v>38</v>
      </c>
      <c r="G166" s="42">
        <f>G167</f>
        <v>3654.8</v>
      </c>
      <c r="H166" s="106">
        <f>H167</f>
        <v>3654.8</v>
      </c>
      <c r="J166" s="19"/>
    </row>
    <row r="167" spans="1:10" ht="42.75">
      <c r="A167" s="87" t="s">
        <v>209</v>
      </c>
      <c r="B167" s="43" t="s">
        <v>110</v>
      </c>
      <c r="C167" s="24" t="s">
        <v>145</v>
      </c>
      <c r="D167" s="24" t="s">
        <v>64</v>
      </c>
      <c r="E167" s="23" t="s">
        <v>210</v>
      </c>
      <c r="F167" s="23" t="s">
        <v>38</v>
      </c>
      <c r="G167" s="42">
        <f>G168</f>
        <v>3654.8</v>
      </c>
      <c r="H167" s="106">
        <f>H168</f>
        <v>3654.8</v>
      </c>
      <c r="J167" s="19"/>
    </row>
    <row r="168" spans="1:10">
      <c r="A168" s="87" t="s">
        <v>211</v>
      </c>
      <c r="B168" s="43" t="s">
        <v>110</v>
      </c>
      <c r="C168" s="24" t="s">
        <v>145</v>
      </c>
      <c r="D168" s="24" t="s">
        <v>64</v>
      </c>
      <c r="E168" s="23" t="s">
        <v>210</v>
      </c>
      <c r="F168" s="23" t="s">
        <v>212</v>
      </c>
      <c r="G168" s="42">
        <v>3654.8</v>
      </c>
      <c r="H168" s="165">
        <v>3654.8</v>
      </c>
      <c r="J168" s="19"/>
    </row>
    <row r="169" spans="1:10" ht="30">
      <c r="A169" s="95" t="s">
        <v>149</v>
      </c>
      <c r="B169" s="55" t="s">
        <v>150</v>
      </c>
      <c r="C169" s="61" t="s">
        <v>36</v>
      </c>
      <c r="D169" s="61" t="s">
        <v>36</v>
      </c>
      <c r="E169" s="61" t="s">
        <v>41</v>
      </c>
      <c r="F169" s="61" t="s">
        <v>38</v>
      </c>
      <c r="G169" s="118">
        <f>G170+G182+G176</f>
        <v>48495.27</v>
      </c>
      <c r="H169" s="181">
        <f>H170+H182+H176</f>
        <v>49645.31</v>
      </c>
      <c r="J169" s="19"/>
    </row>
    <row r="170" spans="1:10">
      <c r="A170" s="91" t="s">
        <v>39</v>
      </c>
      <c r="B170" s="53" t="s">
        <v>150</v>
      </c>
      <c r="C170" s="34" t="s">
        <v>40</v>
      </c>
      <c r="D170" s="34" t="s">
        <v>36</v>
      </c>
      <c r="E170" s="34" t="s">
        <v>41</v>
      </c>
      <c r="F170" s="36" t="s">
        <v>38</v>
      </c>
      <c r="G170" s="110">
        <f t="shared" ref="G170:H172" si="14">G171</f>
        <v>449</v>
      </c>
      <c r="H170" s="151">
        <f t="shared" si="14"/>
        <v>449</v>
      </c>
      <c r="J170" s="19"/>
    </row>
    <row r="171" spans="1:10" ht="45">
      <c r="A171" s="91" t="s">
        <v>63</v>
      </c>
      <c r="B171" s="53" t="s">
        <v>150</v>
      </c>
      <c r="C171" s="35" t="s">
        <v>40</v>
      </c>
      <c r="D171" s="35" t="s">
        <v>64</v>
      </c>
      <c r="E171" s="34" t="s">
        <v>41</v>
      </c>
      <c r="F171" s="36" t="s">
        <v>38</v>
      </c>
      <c r="G171" s="110">
        <f t="shared" si="14"/>
        <v>449</v>
      </c>
      <c r="H171" s="151">
        <f t="shared" si="14"/>
        <v>449</v>
      </c>
      <c r="J171" s="19"/>
    </row>
    <row r="172" spans="1:10" ht="29.25">
      <c r="A172" s="89" t="s">
        <v>44</v>
      </c>
      <c r="B172" s="56" t="s">
        <v>150</v>
      </c>
      <c r="C172" s="25" t="s">
        <v>40</v>
      </c>
      <c r="D172" s="25" t="s">
        <v>64</v>
      </c>
      <c r="E172" s="26" t="s">
        <v>45</v>
      </c>
      <c r="F172" s="26" t="s">
        <v>38</v>
      </c>
      <c r="G172" s="63">
        <f t="shared" si="14"/>
        <v>449</v>
      </c>
      <c r="H172" s="150">
        <f t="shared" si="14"/>
        <v>449</v>
      </c>
      <c r="J172" s="19"/>
    </row>
    <row r="173" spans="1:10">
      <c r="A173" s="96" t="s">
        <v>65</v>
      </c>
      <c r="B173" s="56" t="s">
        <v>150</v>
      </c>
      <c r="C173" s="25" t="s">
        <v>40</v>
      </c>
      <c r="D173" s="25" t="s">
        <v>64</v>
      </c>
      <c r="E173" s="26" t="s">
        <v>52</v>
      </c>
      <c r="F173" s="26" t="s">
        <v>38</v>
      </c>
      <c r="G173" s="63">
        <f>G174+G175</f>
        <v>449</v>
      </c>
      <c r="H173" s="150">
        <f>H174+H175</f>
        <v>449</v>
      </c>
      <c r="J173" s="19"/>
    </row>
    <row r="174" spans="1:10" ht="43.5">
      <c r="A174" s="90" t="s">
        <v>47</v>
      </c>
      <c r="B174" s="56" t="s">
        <v>150</v>
      </c>
      <c r="C174" s="25" t="s">
        <v>40</v>
      </c>
      <c r="D174" s="25" t="s">
        <v>64</v>
      </c>
      <c r="E174" s="26" t="s">
        <v>52</v>
      </c>
      <c r="F174" s="23" t="s">
        <v>48</v>
      </c>
      <c r="G174" s="63">
        <v>417</v>
      </c>
      <c r="H174" s="150">
        <v>417</v>
      </c>
      <c r="J174" s="19"/>
    </row>
    <row r="175" spans="1:10">
      <c r="A175" s="90" t="s">
        <v>53</v>
      </c>
      <c r="B175" s="56" t="s">
        <v>150</v>
      </c>
      <c r="C175" s="25" t="s">
        <v>40</v>
      </c>
      <c r="D175" s="25" t="s">
        <v>64</v>
      </c>
      <c r="E175" s="26" t="s">
        <v>52</v>
      </c>
      <c r="F175" s="23" t="s">
        <v>54</v>
      </c>
      <c r="G175" s="63">
        <v>32</v>
      </c>
      <c r="H175" s="150">
        <v>32</v>
      </c>
      <c r="J175" s="19"/>
    </row>
    <row r="176" spans="1:10">
      <c r="A176" s="102" t="s">
        <v>112</v>
      </c>
      <c r="B176" s="58" t="s">
        <v>150</v>
      </c>
      <c r="C176" s="38" t="s">
        <v>96</v>
      </c>
      <c r="D176" s="38" t="s">
        <v>36</v>
      </c>
      <c r="E176" s="39" t="s">
        <v>41</v>
      </c>
      <c r="F176" s="39" t="s">
        <v>38</v>
      </c>
      <c r="G176" s="117">
        <f t="shared" ref="G176:H180" si="15">G177</f>
        <v>11708.47</v>
      </c>
      <c r="H176" s="164">
        <f t="shared" si="15"/>
        <v>11926.8</v>
      </c>
      <c r="J176" s="19"/>
    </row>
    <row r="177" spans="1:10">
      <c r="A177" s="93" t="s">
        <v>126</v>
      </c>
      <c r="B177" s="60" t="s">
        <v>150</v>
      </c>
      <c r="C177" s="36" t="s">
        <v>96</v>
      </c>
      <c r="D177" s="36" t="s">
        <v>43</v>
      </c>
      <c r="E177" s="36" t="s">
        <v>127</v>
      </c>
      <c r="F177" s="36" t="s">
        <v>38</v>
      </c>
      <c r="G177" s="110">
        <f t="shared" si="15"/>
        <v>11708.47</v>
      </c>
      <c r="H177" s="151">
        <f t="shared" si="15"/>
        <v>11926.8</v>
      </c>
      <c r="J177" s="19"/>
    </row>
    <row r="178" spans="1:10">
      <c r="A178" s="96" t="s">
        <v>126</v>
      </c>
      <c r="B178" s="44" t="s">
        <v>150</v>
      </c>
      <c r="C178" s="26" t="s">
        <v>96</v>
      </c>
      <c r="D178" s="26" t="s">
        <v>43</v>
      </c>
      <c r="E178" s="26" t="s">
        <v>127</v>
      </c>
      <c r="F178" s="26" t="s">
        <v>38</v>
      </c>
      <c r="G178" s="63">
        <f t="shared" si="15"/>
        <v>11708.47</v>
      </c>
      <c r="H178" s="150">
        <f t="shared" si="15"/>
        <v>11926.8</v>
      </c>
      <c r="J178" s="19"/>
    </row>
    <row r="179" spans="1:10">
      <c r="A179" s="96" t="s">
        <v>75</v>
      </c>
      <c r="B179" s="44" t="s">
        <v>150</v>
      </c>
      <c r="C179" s="26" t="s">
        <v>96</v>
      </c>
      <c r="D179" s="26" t="s">
        <v>43</v>
      </c>
      <c r="E179" s="26" t="s">
        <v>128</v>
      </c>
      <c r="F179" s="26" t="s">
        <v>38</v>
      </c>
      <c r="G179" s="63">
        <f t="shared" si="15"/>
        <v>11708.47</v>
      </c>
      <c r="H179" s="150">
        <f t="shared" si="15"/>
        <v>11926.8</v>
      </c>
      <c r="J179" s="19"/>
    </row>
    <row r="180" spans="1:10" ht="39.75" customHeight="1">
      <c r="A180" s="90" t="s">
        <v>228</v>
      </c>
      <c r="B180" s="44" t="s">
        <v>150</v>
      </c>
      <c r="C180" s="26" t="s">
        <v>96</v>
      </c>
      <c r="D180" s="26" t="s">
        <v>43</v>
      </c>
      <c r="E180" s="23" t="s">
        <v>227</v>
      </c>
      <c r="F180" s="23" t="s">
        <v>38</v>
      </c>
      <c r="G180" s="63">
        <f t="shared" si="15"/>
        <v>11708.47</v>
      </c>
      <c r="H180" s="150">
        <f t="shared" si="15"/>
        <v>11926.8</v>
      </c>
      <c r="J180" s="19"/>
    </row>
    <row r="181" spans="1:10">
      <c r="A181" s="90" t="s">
        <v>118</v>
      </c>
      <c r="B181" s="44" t="s">
        <v>150</v>
      </c>
      <c r="C181" s="26" t="s">
        <v>96</v>
      </c>
      <c r="D181" s="26" t="s">
        <v>43</v>
      </c>
      <c r="E181" s="23" t="s">
        <v>227</v>
      </c>
      <c r="F181" s="23" t="s">
        <v>119</v>
      </c>
      <c r="G181" s="63">
        <f>11143.4+565.07</f>
        <v>11708.47</v>
      </c>
      <c r="H181" s="150">
        <f>-250+12176.8</f>
        <v>11926.8</v>
      </c>
      <c r="J181" s="19"/>
    </row>
    <row r="182" spans="1:10">
      <c r="A182" s="102" t="s">
        <v>151</v>
      </c>
      <c r="B182" s="58" t="s">
        <v>150</v>
      </c>
      <c r="C182" s="41" t="s">
        <v>152</v>
      </c>
      <c r="D182" s="41" t="s">
        <v>153</v>
      </c>
      <c r="E182" s="41" t="s">
        <v>41</v>
      </c>
      <c r="F182" s="41" t="s">
        <v>38</v>
      </c>
      <c r="G182" s="117">
        <f>G183+G195</f>
        <v>36337.799999999996</v>
      </c>
      <c r="H182" s="164">
        <f>H183+H195</f>
        <v>37269.509999999995</v>
      </c>
      <c r="J182" s="19"/>
    </row>
    <row r="183" spans="1:10">
      <c r="A183" s="93" t="s">
        <v>154</v>
      </c>
      <c r="B183" s="53" t="s">
        <v>150</v>
      </c>
      <c r="C183" s="36" t="s">
        <v>152</v>
      </c>
      <c r="D183" s="36" t="s">
        <v>40</v>
      </c>
      <c r="E183" s="36" t="s">
        <v>41</v>
      </c>
      <c r="F183" s="36" t="s">
        <v>38</v>
      </c>
      <c r="G183" s="110">
        <f>G186+G184</f>
        <v>35868.799999999996</v>
      </c>
      <c r="H183" s="110">
        <f>H186+H184</f>
        <v>36752.509999999995</v>
      </c>
      <c r="J183" s="19"/>
    </row>
    <row r="184" spans="1:10">
      <c r="A184" s="220" t="s">
        <v>276</v>
      </c>
      <c r="B184" s="56" t="s">
        <v>150</v>
      </c>
      <c r="C184" s="26" t="s">
        <v>152</v>
      </c>
      <c r="D184" s="26" t="s">
        <v>40</v>
      </c>
      <c r="E184" s="26" t="s">
        <v>277</v>
      </c>
      <c r="F184" s="26" t="s">
        <v>38</v>
      </c>
      <c r="G184" s="135">
        <f>G185</f>
        <v>8.1999999999999993</v>
      </c>
      <c r="H184" s="151">
        <v>8.1999999999999993</v>
      </c>
      <c r="J184" s="19"/>
    </row>
    <row r="185" spans="1:10">
      <c r="A185" s="90" t="s">
        <v>53</v>
      </c>
      <c r="B185" s="56" t="s">
        <v>150</v>
      </c>
      <c r="C185" s="26" t="s">
        <v>152</v>
      </c>
      <c r="D185" s="26" t="s">
        <v>40</v>
      </c>
      <c r="E185" s="26" t="s">
        <v>277</v>
      </c>
      <c r="F185" s="26" t="s">
        <v>54</v>
      </c>
      <c r="G185" s="135">
        <v>8.1999999999999993</v>
      </c>
      <c r="H185" s="151">
        <v>8.1999999999999993</v>
      </c>
      <c r="J185" s="19"/>
    </row>
    <row r="186" spans="1:10">
      <c r="A186" s="93" t="s">
        <v>155</v>
      </c>
      <c r="B186" s="53" t="s">
        <v>150</v>
      </c>
      <c r="C186" s="36" t="s">
        <v>152</v>
      </c>
      <c r="D186" s="36" t="s">
        <v>40</v>
      </c>
      <c r="E186" s="36" t="s">
        <v>74</v>
      </c>
      <c r="F186" s="36" t="s">
        <v>38</v>
      </c>
      <c r="G186" s="110">
        <f>G187+G189+G192</f>
        <v>35860.6</v>
      </c>
      <c r="H186" s="151">
        <f>H187+H189+H192</f>
        <v>36744.31</v>
      </c>
      <c r="J186" s="19"/>
    </row>
    <row r="187" spans="1:10">
      <c r="A187" s="93" t="s">
        <v>75</v>
      </c>
      <c r="B187" s="53" t="s">
        <v>150</v>
      </c>
      <c r="C187" s="36" t="s">
        <v>152</v>
      </c>
      <c r="D187" s="36" t="s">
        <v>40</v>
      </c>
      <c r="E187" s="36" t="s">
        <v>76</v>
      </c>
      <c r="F187" s="36" t="s">
        <v>38</v>
      </c>
      <c r="G187" s="110">
        <f>G188</f>
        <v>17187.39</v>
      </c>
      <c r="H187" s="151">
        <f>H188</f>
        <v>17629.41</v>
      </c>
      <c r="J187" s="19"/>
    </row>
    <row r="188" spans="1:10">
      <c r="A188" s="89" t="s">
        <v>118</v>
      </c>
      <c r="B188" s="56" t="s">
        <v>150</v>
      </c>
      <c r="C188" s="26" t="s">
        <v>152</v>
      </c>
      <c r="D188" s="26" t="s">
        <v>40</v>
      </c>
      <c r="E188" s="26" t="s">
        <v>76</v>
      </c>
      <c r="F188" s="23" t="s">
        <v>119</v>
      </c>
      <c r="G188" s="63">
        <f>408.19+18070-45.8-1245</f>
        <v>17187.39</v>
      </c>
      <c r="H188" s="150">
        <f>-1800+19429.41</f>
        <v>17629.41</v>
      </c>
      <c r="J188" s="19"/>
    </row>
    <row r="189" spans="1:10">
      <c r="A189" s="93" t="s">
        <v>156</v>
      </c>
      <c r="B189" s="53" t="s">
        <v>150</v>
      </c>
      <c r="C189" s="36" t="s">
        <v>152</v>
      </c>
      <c r="D189" s="36" t="s">
        <v>40</v>
      </c>
      <c r="E189" s="36" t="s">
        <v>157</v>
      </c>
      <c r="F189" s="36" t="s">
        <v>38</v>
      </c>
      <c r="G189" s="110">
        <f>G190</f>
        <v>4170.8999999999996</v>
      </c>
      <c r="H189" s="151">
        <f>H190</f>
        <v>4371.3999999999996</v>
      </c>
      <c r="J189" s="19"/>
    </row>
    <row r="190" spans="1:10">
      <c r="A190" s="96" t="s">
        <v>75</v>
      </c>
      <c r="B190" s="43" t="s">
        <v>150</v>
      </c>
      <c r="C190" s="26" t="s">
        <v>152</v>
      </c>
      <c r="D190" s="26" t="s">
        <v>40</v>
      </c>
      <c r="E190" s="26" t="s">
        <v>158</v>
      </c>
      <c r="F190" s="26" t="s">
        <v>38</v>
      </c>
      <c r="G190" s="63">
        <f>G191</f>
        <v>4170.8999999999996</v>
      </c>
      <c r="H190" s="150">
        <f>H191</f>
        <v>4371.3999999999996</v>
      </c>
      <c r="J190" s="19"/>
    </row>
    <row r="191" spans="1:10">
      <c r="A191" s="87" t="s">
        <v>118</v>
      </c>
      <c r="B191" s="43" t="s">
        <v>150</v>
      </c>
      <c r="C191" s="26" t="s">
        <v>152</v>
      </c>
      <c r="D191" s="26" t="s">
        <v>40</v>
      </c>
      <c r="E191" s="26" t="s">
        <v>158</v>
      </c>
      <c r="F191" s="23" t="s">
        <v>119</v>
      </c>
      <c r="G191" s="63">
        <f>29.9+4141</f>
        <v>4170.8999999999996</v>
      </c>
      <c r="H191" s="150">
        <f>-300+4671.4</f>
        <v>4371.3999999999996</v>
      </c>
      <c r="J191" s="19"/>
    </row>
    <row r="192" spans="1:10">
      <c r="A192" s="93" t="s">
        <v>159</v>
      </c>
      <c r="B192" s="53" t="s">
        <v>150</v>
      </c>
      <c r="C192" s="36" t="s">
        <v>152</v>
      </c>
      <c r="D192" s="36" t="s">
        <v>40</v>
      </c>
      <c r="E192" s="36" t="s">
        <v>160</v>
      </c>
      <c r="F192" s="36" t="s">
        <v>38</v>
      </c>
      <c r="G192" s="110">
        <f>G193</f>
        <v>14502.31</v>
      </c>
      <c r="H192" s="151">
        <f>H193</f>
        <v>14743.5</v>
      </c>
      <c r="J192" s="19"/>
    </row>
    <row r="193" spans="1:10">
      <c r="A193" s="96" t="s">
        <v>75</v>
      </c>
      <c r="B193" s="43" t="s">
        <v>150</v>
      </c>
      <c r="C193" s="26" t="s">
        <v>152</v>
      </c>
      <c r="D193" s="26" t="s">
        <v>40</v>
      </c>
      <c r="E193" s="26" t="s">
        <v>161</v>
      </c>
      <c r="F193" s="26" t="s">
        <v>38</v>
      </c>
      <c r="G193" s="63">
        <f>G194</f>
        <v>14502.31</v>
      </c>
      <c r="H193" s="150">
        <f>H194</f>
        <v>14743.5</v>
      </c>
      <c r="J193" s="19"/>
    </row>
    <row r="194" spans="1:10">
      <c r="A194" s="89" t="s">
        <v>118</v>
      </c>
      <c r="B194" s="56" t="s">
        <v>150</v>
      </c>
      <c r="C194" s="26" t="s">
        <v>152</v>
      </c>
      <c r="D194" s="26" t="s">
        <v>40</v>
      </c>
      <c r="E194" s="26" t="s">
        <v>161</v>
      </c>
      <c r="F194" s="23" t="s">
        <v>119</v>
      </c>
      <c r="G194" s="63">
        <f>76.01+15434.5-1000-8.2</f>
        <v>14502.31</v>
      </c>
      <c r="H194" s="150">
        <f>-1500+16251.7-8.2</f>
        <v>14743.5</v>
      </c>
      <c r="J194" s="19"/>
    </row>
    <row r="195" spans="1:10">
      <c r="A195" s="93" t="s">
        <v>162</v>
      </c>
      <c r="B195" s="53" t="s">
        <v>150</v>
      </c>
      <c r="C195" s="36" t="s">
        <v>152</v>
      </c>
      <c r="D195" s="36" t="s">
        <v>64</v>
      </c>
      <c r="E195" s="36" t="s">
        <v>41</v>
      </c>
      <c r="F195" s="36" t="s">
        <v>38</v>
      </c>
      <c r="G195" s="110">
        <f>G196</f>
        <v>469</v>
      </c>
      <c r="H195" s="151">
        <f>H196</f>
        <v>517</v>
      </c>
      <c r="J195" s="19"/>
    </row>
    <row r="196" spans="1:10" ht="43.5">
      <c r="A196" s="89" t="s">
        <v>141</v>
      </c>
      <c r="B196" s="56" t="s">
        <v>150</v>
      </c>
      <c r="C196" s="26" t="s">
        <v>152</v>
      </c>
      <c r="D196" s="26" t="s">
        <v>64</v>
      </c>
      <c r="E196" s="26" t="s">
        <v>142</v>
      </c>
      <c r="F196" s="26" t="s">
        <v>38</v>
      </c>
      <c r="G196" s="63">
        <f>G197</f>
        <v>469</v>
      </c>
      <c r="H196" s="150">
        <f>H197</f>
        <v>517</v>
      </c>
      <c r="J196" s="19"/>
    </row>
    <row r="197" spans="1:10">
      <c r="A197" s="89" t="s">
        <v>75</v>
      </c>
      <c r="B197" s="56" t="s">
        <v>150</v>
      </c>
      <c r="C197" s="26" t="s">
        <v>152</v>
      </c>
      <c r="D197" s="26" t="s">
        <v>64</v>
      </c>
      <c r="E197" s="26" t="s">
        <v>143</v>
      </c>
      <c r="F197" s="26" t="s">
        <v>38</v>
      </c>
      <c r="G197" s="63">
        <f>+G198+G199</f>
        <v>469</v>
      </c>
      <c r="H197" s="150">
        <f>+H198+H199</f>
        <v>517</v>
      </c>
      <c r="J197" s="19"/>
    </row>
    <row r="198" spans="1:10" ht="43.5">
      <c r="A198" s="90" t="s">
        <v>47</v>
      </c>
      <c r="B198" s="57" t="s">
        <v>150</v>
      </c>
      <c r="C198" s="26" t="s">
        <v>152</v>
      </c>
      <c r="D198" s="26" t="s">
        <v>163</v>
      </c>
      <c r="E198" s="26" t="s">
        <v>143</v>
      </c>
      <c r="F198" s="23" t="s">
        <v>48</v>
      </c>
      <c r="G198" s="63">
        <f>355</f>
        <v>355</v>
      </c>
      <c r="H198" s="150">
        <v>408</v>
      </c>
      <c r="J198" s="19"/>
    </row>
    <row r="199" spans="1:10">
      <c r="A199" s="90" t="s">
        <v>53</v>
      </c>
      <c r="B199" s="57" t="s">
        <v>150</v>
      </c>
      <c r="C199" s="26" t="s">
        <v>152</v>
      </c>
      <c r="D199" s="26" t="s">
        <v>163</v>
      </c>
      <c r="E199" s="26" t="s">
        <v>143</v>
      </c>
      <c r="F199" s="23" t="s">
        <v>54</v>
      </c>
      <c r="G199" s="63">
        <v>114</v>
      </c>
      <c r="H199" s="150">
        <f>-6+115</f>
        <v>109</v>
      </c>
      <c r="J199" s="19"/>
    </row>
    <row r="200" spans="1:10" ht="30">
      <c r="A200" s="100" t="s">
        <v>164</v>
      </c>
      <c r="B200" s="55" t="s">
        <v>165</v>
      </c>
      <c r="C200" s="51" t="s">
        <v>36</v>
      </c>
      <c r="D200" s="51" t="s">
        <v>36</v>
      </c>
      <c r="E200" s="51" t="s">
        <v>41</v>
      </c>
      <c r="F200" s="51" t="s">
        <v>38</v>
      </c>
      <c r="G200" s="111">
        <f>G201+G217+G222+G226</f>
        <v>12408.91</v>
      </c>
      <c r="H200" s="177">
        <f>H201+H217+H222+H227</f>
        <v>12561.86</v>
      </c>
      <c r="J200" s="19"/>
    </row>
    <row r="201" spans="1:10">
      <c r="A201" s="91" t="s">
        <v>39</v>
      </c>
      <c r="B201" s="62" t="s">
        <v>165</v>
      </c>
      <c r="C201" s="34" t="s">
        <v>40</v>
      </c>
      <c r="D201" s="34" t="s">
        <v>36</v>
      </c>
      <c r="E201" s="34" t="s">
        <v>41</v>
      </c>
      <c r="F201" s="36" t="s">
        <v>38</v>
      </c>
      <c r="G201" s="110">
        <f>G202+G209</f>
        <v>740.16</v>
      </c>
      <c r="H201" s="151">
        <f>H202+H210</f>
        <v>751.66</v>
      </c>
      <c r="J201" s="19"/>
    </row>
    <row r="202" spans="1:10" ht="45">
      <c r="A202" s="91" t="s">
        <v>63</v>
      </c>
      <c r="B202" s="62" t="s">
        <v>165</v>
      </c>
      <c r="C202" s="35" t="s">
        <v>40</v>
      </c>
      <c r="D202" s="35" t="s">
        <v>64</v>
      </c>
      <c r="E202" s="34" t="s">
        <v>41</v>
      </c>
      <c r="F202" s="36" t="s">
        <v>38</v>
      </c>
      <c r="G202" s="110">
        <f>G203+G207</f>
        <v>524.4</v>
      </c>
      <c r="H202" s="151">
        <f>H203+H207</f>
        <v>535.9</v>
      </c>
      <c r="J202" s="19"/>
    </row>
    <row r="203" spans="1:10" ht="29.25">
      <c r="A203" s="89" t="s">
        <v>44</v>
      </c>
      <c r="B203" s="57" t="s">
        <v>165</v>
      </c>
      <c r="C203" s="25" t="s">
        <v>40</v>
      </c>
      <c r="D203" s="25" t="s">
        <v>64</v>
      </c>
      <c r="E203" s="26" t="s">
        <v>45</v>
      </c>
      <c r="F203" s="26" t="s">
        <v>38</v>
      </c>
      <c r="G203" s="63">
        <f>G204</f>
        <v>258</v>
      </c>
      <c r="H203" s="150">
        <f>H204</f>
        <v>258</v>
      </c>
      <c r="J203" s="19"/>
    </row>
    <row r="204" spans="1:10">
      <c r="A204" s="96" t="s">
        <v>65</v>
      </c>
      <c r="B204" s="57" t="s">
        <v>165</v>
      </c>
      <c r="C204" s="25" t="s">
        <v>40</v>
      </c>
      <c r="D204" s="25" t="s">
        <v>64</v>
      </c>
      <c r="E204" s="26" t="s">
        <v>52</v>
      </c>
      <c r="F204" s="26" t="s">
        <v>38</v>
      </c>
      <c r="G204" s="63">
        <f>G205+G206</f>
        <v>258</v>
      </c>
      <c r="H204" s="150">
        <f>H205+H206</f>
        <v>258</v>
      </c>
      <c r="J204" s="19"/>
    </row>
    <row r="205" spans="1:10" ht="43.5">
      <c r="A205" s="90" t="s">
        <v>47</v>
      </c>
      <c r="B205" s="56" t="s">
        <v>165</v>
      </c>
      <c r="C205" s="25" t="s">
        <v>40</v>
      </c>
      <c r="D205" s="25" t="s">
        <v>64</v>
      </c>
      <c r="E205" s="26" t="s">
        <v>52</v>
      </c>
      <c r="F205" s="23" t="s">
        <v>48</v>
      </c>
      <c r="G205" s="63">
        <v>180</v>
      </c>
      <c r="H205" s="150">
        <v>180</v>
      </c>
      <c r="J205" s="19"/>
    </row>
    <row r="206" spans="1:10">
      <c r="A206" s="90" t="s">
        <v>53</v>
      </c>
      <c r="B206" s="56" t="s">
        <v>165</v>
      </c>
      <c r="C206" s="25" t="s">
        <v>40</v>
      </c>
      <c r="D206" s="25" t="s">
        <v>64</v>
      </c>
      <c r="E206" s="26" t="s">
        <v>52</v>
      </c>
      <c r="F206" s="23" t="s">
        <v>54</v>
      </c>
      <c r="G206" s="63">
        <v>78</v>
      </c>
      <c r="H206" s="150">
        <v>78</v>
      </c>
      <c r="J206" s="19"/>
    </row>
    <row r="207" spans="1:10" ht="28.5">
      <c r="A207" s="96" t="s">
        <v>166</v>
      </c>
      <c r="B207" s="43" t="s">
        <v>165</v>
      </c>
      <c r="C207" s="23" t="s">
        <v>40</v>
      </c>
      <c r="D207" s="23" t="s">
        <v>64</v>
      </c>
      <c r="E207" s="23" t="s">
        <v>243</v>
      </c>
      <c r="F207" s="23" t="s">
        <v>38</v>
      </c>
      <c r="G207" s="63">
        <f>G208</f>
        <v>266.39999999999998</v>
      </c>
      <c r="H207" s="150">
        <f>H208</f>
        <v>277.89999999999998</v>
      </c>
      <c r="J207" s="19"/>
    </row>
    <row r="208" spans="1:10" ht="43.5">
      <c r="A208" s="90" t="s">
        <v>47</v>
      </c>
      <c r="B208" s="57" t="s">
        <v>165</v>
      </c>
      <c r="C208" s="23" t="s">
        <v>40</v>
      </c>
      <c r="D208" s="23" t="s">
        <v>64</v>
      </c>
      <c r="E208" s="26" t="s">
        <v>243</v>
      </c>
      <c r="F208" s="23" t="s">
        <v>48</v>
      </c>
      <c r="G208" s="63">
        <v>266.39999999999998</v>
      </c>
      <c r="H208" s="150">
        <v>277.89999999999998</v>
      </c>
      <c r="J208" s="19"/>
    </row>
    <row r="209" spans="1:10">
      <c r="A209" s="93" t="s">
        <v>57</v>
      </c>
      <c r="B209" s="53" t="s">
        <v>165</v>
      </c>
      <c r="C209" s="35" t="s">
        <v>40</v>
      </c>
      <c r="D209" s="35" t="s">
        <v>58</v>
      </c>
      <c r="E209" s="36" t="s">
        <v>41</v>
      </c>
      <c r="F209" s="36" t="s">
        <v>38</v>
      </c>
      <c r="G209" s="110">
        <f>G210</f>
        <v>215.76</v>
      </c>
      <c r="H209" s="151">
        <f>H210</f>
        <v>215.76</v>
      </c>
      <c r="J209" s="19"/>
    </row>
    <row r="210" spans="1:10" ht="29.25">
      <c r="A210" s="89" t="s">
        <v>44</v>
      </c>
      <c r="B210" s="43" t="s">
        <v>165</v>
      </c>
      <c r="C210" s="25" t="s">
        <v>40</v>
      </c>
      <c r="D210" s="25" t="s">
        <v>58</v>
      </c>
      <c r="E210" s="26" t="s">
        <v>45</v>
      </c>
      <c r="F210" s="26" t="s">
        <v>38</v>
      </c>
      <c r="G210" s="63">
        <f>G211+G214</f>
        <v>215.76</v>
      </c>
      <c r="H210" s="150">
        <f>H211+H214</f>
        <v>215.76</v>
      </c>
      <c r="J210" s="19"/>
    </row>
    <row r="211" spans="1:10">
      <c r="A211" s="96" t="s">
        <v>75</v>
      </c>
      <c r="B211" s="43" t="s">
        <v>165</v>
      </c>
      <c r="C211" s="25" t="s">
        <v>40</v>
      </c>
      <c r="D211" s="25" t="s">
        <v>58</v>
      </c>
      <c r="E211" s="26" t="s">
        <v>167</v>
      </c>
      <c r="F211" s="26" t="s">
        <v>38</v>
      </c>
      <c r="G211" s="63">
        <f>G212+G213</f>
        <v>211.6</v>
      </c>
      <c r="H211" s="150">
        <f>Лист4!G53</f>
        <v>211.6</v>
      </c>
      <c r="J211" s="19"/>
    </row>
    <row r="212" spans="1:10" ht="43.5">
      <c r="A212" s="90" t="s">
        <v>47</v>
      </c>
      <c r="B212" s="43" t="s">
        <v>165</v>
      </c>
      <c r="C212" s="25" t="s">
        <v>40</v>
      </c>
      <c r="D212" s="25" t="s">
        <v>58</v>
      </c>
      <c r="E212" s="26" t="s">
        <v>167</v>
      </c>
      <c r="F212" s="23" t="s">
        <v>48</v>
      </c>
      <c r="G212" s="63">
        <f>2+204</f>
        <v>206</v>
      </c>
      <c r="H212" s="150">
        <f>Лист4!G54</f>
        <v>206</v>
      </c>
      <c r="J212" s="19"/>
    </row>
    <row r="213" spans="1:10">
      <c r="A213" s="90" t="s">
        <v>53</v>
      </c>
      <c r="B213" s="43" t="s">
        <v>165</v>
      </c>
      <c r="C213" s="25" t="s">
        <v>40</v>
      </c>
      <c r="D213" s="25" t="s">
        <v>58</v>
      </c>
      <c r="E213" s="26" t="s">
        <v>167</v>
      </c>
      <c r="F213" s="23" t="s">
        <v>54</v>
      </c>
      <c r="G213" s="63">
        <v>5.6</v>
      </c>
      <c r="H213" s="150">
        <f>Лист4!G55</f>
        <v>5.6</v>
      </c>
      <c r="J213" s="19"/>
    </row>
    <row r="214" spans="1:10">
      <c r="A214" s="94" t="s">
        <v>59</v>
      </c>
      <c r="B214" s="57" t="s">
        <v>165</v>
      </c>
      <c r="C214" s="23" t="s">
        <v>40</v>
      </c>
      <c r="D214" s="23" t="s">
        <v>58</v>
      </c>
      <c r="E214" s="24" t="s">
        <v>60</v>
      </c>
      <c r="F214" s="24" t="s">
        <v>38</v>
      </c>
      <c r="G214" s="64">
        <f>G215</f>
        <v>4.16</v>
      </c>
      <c r="H214" s="165">
        <f>H215</f>
        <v>4.16</v>
      </c>
      <c r="J214" s="19"/>
    </row>
    <row r="215" spans="1:10">
      <c r="A215" s="90" t="s">
        <v>55</v>
      </c>
      <c r="B215" s="57" t="s">
        <v>165</v>
      </c>
      <c r="C215" s="23" t="s">
        <v>40</v>
      </c>
      <c r="D215" s="23" t="s">
        <v>58</v>
      </c>
      <c r="E215" s="24" t="s">
        <v>60</v>
      </c>
      <c r="F215" s="24" t="s">
        <v>56</v>
      </c>
      <c r="G215" s="64">
        <v>4.16</v>
      </c>
      <c r="H215" s="165">
        <v>4.16</v>
      </c>
      <c r="J215" s="19"/>
    </row>
    <row r="216" spans="1:10">
      <c r="A216" s="102" t="s">
        <v>112</v>
      </c>
      <c r="B216" s="58" t="s">
        <v>165</v>
      </c>
      <c r="C216" s="38" t="s">
        <v>96</v>
      </c>
      <c r="D216" s="38" t="s">
        <v>36</v>
      </c>
      <c r="E216" s="39" t="s">
        <v>41</v>
      </c>
      <c r="F216" s="39" t="s">
        <v>38</v>
      </c>
      <c r="G216" s="117">
        <f>G217+G222</f>
        <v>10968.75</v>
      </c>
      <c r="H216" s="164">
        <f>H217+H222</f>
        <v>11180.2</v>
      </c>
      <c r="J216" s="19"/>
    </row>
    <row r="217" spans="1:10">
      <c r="A217" s="93" t="s">
        <v>126</v>
      </c>
      <c r="B217" s="60" t="s">
        <v>165</v>
      </c>
      <c r="C217" s="36" t="s">
        <v>96</v>
      </c>
      <c r="D217" s="36" t="s">
        <v>43</v>
      </c>
      <c r="E217" s="36" t="s">
        <v>127</v>
      </c>
      <c r="F217" s="36" t="s">
        <v>38</v>
      </c>
      <c r="G217" s="110">
        <f t="shared" ref="G217:H218" si="16">G218</f>
        <v>4753.25</v>
      </c>
      <c r="H217" s="151">
        <f t="shared" si="16"/>
        <v>4873.3999999999996</v>
      </c>
      <c r="J217" s="19"/>
    </row>
    <row r="218" spans="1:10">
      <c r="A218" s="96" t="s">
        <v>126</v>
      </c>
      <c r="B218" s="44" t="s">
        <v>165</v>
      </c>
      <c r="C218" s="26" t="s">
        <v>96</v>
      </c>
      <c r="D218" s="26" t="s">
        <v>43</v>
      </c>
      <c r="E218" s="26" t="s">
        <v>127</v>
      </c>
      <c r="F218" s="26" t="s">
        <v>38</v>
      </c>
      <c r="G218" s="63">
        <f t="shared" si="16"/>
        <v>4753.25</v>
      </c>
      <c r="H218" s="150">
        <f t="shared" si="16"/>
        <v>4873.3999999999996</v>
      </c>
      <c r="J218" s="19"/>
    </row>
    <row r="219" spans="1:10" ht="29.25">
      <c r="A219" s="90" t="s">
        <v>120</v>
      </c>
      <c r="B219" s="44" t="s">
        <v>165</v>
      </c>
      <c r="C219" s="26" t="s">
        <v>96</v>
      </c>
      <c r="D219" s="26" t="s">
        <v>43</v>
      </c>
      <c r="E219" s="23" t="s">
        <v>128</v>
      </c>
      <c r="F219" s="23" t="s">
        <v>38</v>
      </c>
      <c r="G219" s="63">
        <f>G221</f>
        <v>4753.25</v>
      </c>
      <c r="H219" s="150">
        <f>H221</f>
        <v>4873.3999999999996</v>
      </c>
      <c r="J219" s="19"/>
    </row>
    <row r="220" spans="1:10" ht="48" customHeight="1">
      <c r="A220" s="90" t="s">
        <v>233</v>
      </c>
      <c r="B220" s="44" t="s">
        <v>165</v>
      </c>
      <c r="C220" s="26" t="s">
        <v>96</v>
      </c>
      <c r="D220" s="26" t="s">
        <v>43</v>
      </c>
      <c r="E220" s="23" t="s">
        <v>232</v>
      </c>
      <c r="F220" s="23" t="s">
        <v>38</v>
      </c>
      <c r="G220" s="63">
        <f>G221</f>
        <v>4753.25</v>
      </c>
      <c r="H220" s="150">
        <f>H221</f>
        <v>4873.3999999999996</v>
      </c>
      <c r="J220" s="19"/>
    </row>
    <row r="221" spans="1:10">
      <c r="A221" s="90" t="s">
        <v>118</v>
      </c>
      <c r="B221" s="44" t="s">
        <v>165</v>
      </c>
      <c r="C221" s="26" t="s">
        <v>96</v>
      </c>
      <c r="D221" s="26" t="s">
        <v>43</v>
      </c>
      <c r="E221" s="23" t="s">
        <v>232</v>
      </c>
      <c r="F221" s="23" t="s">
        <v>119</v>
      </c>
      <c r="G221" s="63">
        <f>4750.3+2.95</f>
        <v>4753.25</v>
      </c>
      <c r="H221" s="150">
        <f>-70+4943.4</f>
        <v>4873.3999999999996</v>
      </c>
      <c r="J221" s="19"/>
    </row>
    <row r="222" spans="1:10">
      <c r="A222" s="93" t="s">
        <v>129</v>
      </c>
      <c r="B222" s="60" t="s">
        <v>165</v>
      </c>
      <c r="C222" s="36" t="s">
        <v>96</v>
      </c>
      <c r="D222" s="36" t="s">
        <v>96</v>
      </c>
      <c r="E222" s="36" t="s">
        <v>41</v>
      </c>
      <c r="F222" s="36" t="s">
        <v>38</v>
      </c>
      <c r="G222" s="110">
        <f t="shared" ref="G222:H224" si="17">G223</f>
        <v>6215.5</v>
      </c>
      <c r="H222" s="151">
        <f t="shared" si="17"/>
        <v>6306.8</v>
      </c>
      <c r="J222" s="19"/>
    </row>
    <row r="223" spans="1:10">
      <c r="A223" s="96" t="s">
        <v>130</v>
      </c>
      <c r="B223" s="44" t="s">
        <v>165</v>
      </c>
      <c r="C223" s="26" t="s">
        <v>96</v>
      </c>
      <c r="D223" s="26" t="s">
        <v>96</v>
      </c>
      <c r="E223" s="26" t="s">
        <v>131</v>
      </c>
      <c r="F223" s="26" t="s">
        <v>38</v>
      </c>
      <c r="G223" s="63">
        <f t="shared" si="17"/>
        <v>6215.5</v>
      </c>
      <c r="H223" s="150">
        <f t="shared" si="17"/>
        <v>6306.8</v>
      </c>
      <c r="J223" s="19"/>
    </row>
    <row r="224" spans="1:10">
      <c r="A224" s="96" t="s">
        <v>75</v>
      </c>
      <c r="B224" s="44" t="s">
        <v>165</v>
      </c>
      <c r="C224" s="26" t="s">
        <v>96</v>
      </c>
      <c r="D224" s="26" t="s">
        <v>96</v>
      </c>
      <c r="E224" s="26" t="s">
        <v>132</v>
      </c>
      <c r="F224" s="26" t="s">
        <v>38</v>
      </c>
      <c r="G224" s="63">
        <f t="shared" si="17"/>
        <v>6215.5</v>
      </c>
      <c r="H224" s="150">
        <f t="shared" si="17"/>
        <v>6306.8</v>
      </c>
      <c r="J224" s="19"/>
    </row>
    <row r="225" spans="1:10">
      <c r="A225" s="90" t="s">
        <v>118</v>
      </c>
      <c r="B225" s="44" t="s">
        <v>165</v>
      </c>
      <c r="C225" s="26" t="s">
        <v>96</v>
      </c>
      <c r="D225" s="26" t="s">
        <v>96</v>
      </c>
      <c r="E225" s="26" t="s">
        <v>132</v>
      </c>
      <c r="F225" s="23" t="s">
        <v>119</v>
      </c>
      <c r="G225" s="63">
        <f>6156.4+59.1</f>
        <v>6215.5</v>
      </c>
      <c r="H225" s="150">
        <f>-50+6356.8</f>
        <v>6306.8</v>
      </c>
      <c r="J225" s="19"/>
    </row>
    <row r="226" spans="1:10">
      <c r="A226" s="98" t="s">
        <v>234</v>
      </c>
      <c r="B226" s="142" t="s">
        <v>165</v>
      </c>
      <c r="C226" s="39" t="s">
        <v>68</v>
      </c>
      <c r="D226" s="39" t="s">
        <v>36</v>
      </c>
      <c r="E226" s="39" t="s">
        <v>41</v>
      </c>
      <c r="F226" s="143" t="s">
        <v>38</v>
      </c>
      <c r="G226" s="117">
        <f t="shared" ref="G226:H228" si="18">G227</f>
        <v>700</v>
      </c>
      <c r="H226" s="164">
        <f t="shared" si="18"/>
        <v>630</v>
      </c>
      <c r="J226" s="19"/>
    </row>
    <row r="227" spans="1:10">
      <c r="A227" s="141" t="s">
        <v>168</v>
      </c>
      <c r="B227" s="144" t="s">
        <v>165</v>
      </c>
      <c r="C227" s="75" t="s">
        <v>68</v>
      </c>
      <c r="D227" s="75" t="s">
        <v>43</v>
      </c>
      <c r="E227" s="75" t="s">
        <v>41</v>
      </c>
      <c r="F227" s="75" t="s">
        <v>38</v>
      </c>
      <c r="G227" s="145">
        <f t="shared" si="18"/>
        <v>700</v>
      </c>
      <c r="H227" s="184">
        <f t="shared" si="18"/>
        <v>630</v>
      </c>
      <c r="J227" s="19"/>
    </row>
    <row r="228" spans="1:10">
      <c r="A228" s="96" t="s">
        <v>169</v>
      </c>
      <c r="B228" s="43" t="s">
        <v>165</v>
      </c>
      <c r="C228" s="26" t="s">
        <v>68</v>
      </c>
      <c r="D228" s="26" t="s">
        <v>43</v>
      </c>
      <c r="E228" s="26" t="s">
        <v>170</v>
      </c>
      <c r="F228" s="26" t="s">
        <v>38</v>
      </c>
      <c r="G228" s="63">
        <f t="shared" si="18"/>
        <v>700</v>
      </c>
      <c r="H228" s="150">
        <f t="shared" si="18"/>
        <v>630</v>
      </c>
      <c r="J228" s="19"/>
    </row>
    <row r="229" spans="1:10">
      <c r="A229" s="89" t="s">
        <v>53</v>
      </c>
      <c r="B229" s="56" t="s">
        <v>165</v>
      </c>
      <c r="C229" s="26" t="s">
        <v>68</v>
      </c>
      <c r="D229" s="26" t="s">
        <v>43</v>
      </c>
      <c r="E229" s="26" t="s">
        <v>170</v>
      </c>
      <c r="F229" s="23" t="s">
        <v>54</v>
      </c>
      <c r="G229" s="63">
        <v>700</v>
      </c>
      <c r="H229" s="150">
        <v>630</v>
      </c>
      <c r="J229" s="19"/>
    </row>
    <row r="230" spans="1:10">
      <c r="A230" s="95" t="s">
        <v>171</v>
      </c>
      <c r="B230" s="65" t="s">
        <v>83</v>
      </c>
      <c r="C230" s="52" t="s">
        <v>36</v>
      </c>
      <c r="D230" s="52" t="s">
        <v>36</v>
      </c>
      <c r="E230" s="51" t="s">
        <v>41</v>
      </c>
      <c r="F230" s="51" t="s">
        <v>38</v>
      </c>
      <c r="G230" s="118">
        <f>G231+G244+G261</f>
        <v>94966.640000000014</v>
      </c>
      <c r="H230" s="181">
        <f>H231+H244+H261</f>
        <v>115841.82</v>
      </c>
      <c r="J230" s="19"/>
    </row>
    <row r="231" spans="1:10">
      <c r="A231" s="49" t="s">
        <v>39</v>
      </c>
      <c r="B231" s="60" t="s">
        <v>83</v>
      </c>
      <c r="C231" s="50" t="s">
        <v>40</v>
      </c>
      <c r="D231" s="50" t="s">
        <v>36</v>
      </c>
      <c r="E231" s="50" t="s">
        <v>41</v>
      </c>
      <c r="F231" s="75" t="s">
        <v>38</v>
      </c>
      <c r="G231" s="112">
        <f>G232+G237</f>
        <v>6137.8799999999992</v>
      </c>
      <c r="H231" s="148">
        <f>H232+H237</f>
        <v>5484.66</v>
      </c>
      <c r="I231" s="22"/>
      <c r="J231" s="19"/>
    </row>
    <row r="232" spans="1:10" ht="30">
      <c r="A232" s="93" t="s">
        <v>99</v>
      </c>
      <c r="B232" s="53" t="s">
        <v>83</v>
      </c>
      <c r="C232" s="35" t="s">
        <v>40</v>
      </c>
      <c r="D232" s="35" t="s">
        <v>85</v>
      </c>
      <c r="E232" s="36" t="s">
        <v>41</v>
      </c>
      <c r="F232" s="36" t="s">
        <v>38</v>
      </c>
      <c r="G232" s="110">
        <f>G233</f>
        <v>4925.32</v>
      </c>
      <c r="H232" s="151">
        <f>H233</f>
        <v>4272.1000000000004</v>
      </c>
      <c r="J232" s="19"/>
    </row>
    <row r="233" spans="1:10" ht="29.25">
      <c r="A233" s="89" t="s">
        <v>44</v>
      </c>
      <c r="B233" s="56" t="s">
        <v>83</v>
      </c>
      <c r="C233" s="25" t="s">
        <v>40</v>
      </c>
      <c r="D233" s="25" t="s">
        <v>85</v>
      </c>
      <c r="E233" s="26" t="s">
        <v>45</v>
      </c>
      <c r="F233" s="26" t="s">
        <v>38</v>
      </c>
      <c r="G233" s="63">
        <f>G234</f>
        <v>4925.32</v>
      </c>
      <c r="H233" s="150">
        <f>H234</f>
        <v>4272.1000000000004</v>
      </c>
      <c r="J233" s="19"/>
    </row>
    <row r="234" spans="1:10">
      <c r="A234" s="96" t="s">
        <v>65</v>
      </c>
      <c r="B234" s="43" t="s">
        <v>83</v>
      </c>
      <c r="C234" s="25" t="s">
        <v>40</v>
      </c>
      <c r="D234" s="25" t="s">
        <v>85</v>
      </c>
      <c r="E234" s="26" t="s">
        <v>52</v>
      </c>
      <c r="F234" s="26" t="s">
        <v>38</v>
      </c>
      <c r="G234" s="63">
        <f>G235+G236</f>
        <v>4925.32</v>
      </c>
      <c r="H234" s="150">
        <f>H235+H236</f>
        <v>4272.1000000000004</v>
      </c>
      <c r="J234" s="19"/>
    </row>
    <row r="235" spans="1:10" ht="43.5">
      <c r="A235" s="90" t="s">
        <v>47</v>
      </c>
      <c r="B235" s="57" t="s">
        <v>83</v>
      </c>
      <c r="C235" s="25" t="s">
        <v>40</v>
      </c>
      <c r="D235" s="25" t="s">
        <v>85</v>
      </c>
      <c r="E235" s="26" t="s">
        <v>52</v>
      </c>
      <c r="F235" s="23" t="s">
        <v>48</v>
      </c>
      <c r="G235" s="63">
        <f>3540</f>
        <v>3540</v>
      </c>
      <c r="H235" s="150">
        <f>3584-200-143.9</f>
        <v>3240.1</v>
      </c>
      <c r="J235" s="19"/>
    </row>
    <row r="236" spans="1:10">
      <c r="A236" s="90" t="s">
        <v>53</v>
      </c>
      <c r="B236" s="57" t="s">
        <v>83</v>
      </c>
      <c r="C236" s="25" t="s">
        <v>40</v>
      </c>
      <c r="D236" s="25" t="s">
        <v>85</v>
      </c>
      <c r="E236" s="26" t="s">
        <v>52</v>
      </c>
      <c r="F236" s="23" t="s">
        <v>54</v>
      </c>
      <c r="G236" s="63">
        <f>-45.68+1431</f>
        <v>1385.32</v>
      </c>
      <c r="H236" s="150">
        <f>1482-100-350</f>
        <v>1032</v>
      </c>
      <c r="J236" s="19"/>
    </row>
    <row r="237" spans="1:10">
      <c r="A237" s="107" t="s">
        <v>57</v>
      </c>
      <c r="B237" s="53" t="s">
        <v>83</v>
      </c>
      <c r="C237" s="35" t="s">
        <v>40</v>
      </c>
      <c r="D237" s="35" t="s">
        <v>58</v>
      </c>
      <c r="E237" s="36" t="s">
        <v>41</v>
      </c>
      <c r="F237" s="36" t="s">
        <v>38</v>
      </c>
      <c r="G237" s="110">
        <f>G238+G241</f>
        <v>1212.56</v>
      </c>
      <c r="H237" s="151">
        <f>H238+H241</f>
        <v>1212.56</v>
      </c>
      <c r="J237" s="19"/>
    </row>
    <row r="238" spans="1:10" ht="29.25">
      <c r="A238" s="89" t="s">
        <v>44</v>
      </c>
      <c r="B238" s="43" t="s">
        <v>83</v>
      </c>
      <c r="C238" s="25" t="s">
        <v>40</v>
      </c>
      <c r="D238" s="25" t="s">
        <v>58</v>
      </c>
      <c r="E238" s="26" t="s">
        <v>45</v>
      </c>
      <c r="F238" s="26" t="s">
        <v>38</v>
      </c>
      <c r="G238" s="63">
        <f>G239</f>
        <v>11.56</v>
      </c>
      <c r="H238" s="150">
        <f>H239</f>
        <v>11.56</v>
      </c>
      <c r="J238" s="19"/>
    </row>
    <row r="239" spans="1:10">
      <c r="A239" s="94" t="s">
        <v>59</v>
      </c>
      <c r="B239" s="57" t="s">
        <v>83</v>
      </c>
      <c r="C239" s="23" t="s">
        <v>40</v>
      </c>
      <c r="D239" s="23" t="s">
        <v>58</v>
      </c>
      <c r="E239" s="24" t="s">
        <v>60</v>
      </c>
      <c r="F239" s="24" t="s">
        <v>38</v>
      </c>
      <c r="G239" s="64">
        <f>G240</f>
        <v>11.56</v>
      </c>
      <c r="H239" s="165">
        <f>H240</f>
        <v>11.56</v>
      </c>
      <c r="J239" s="19"/>
    </row>
    <row r="240" spans="1:10">
      <c r="A240" s="90" t="s">
        <v>55</v>
      </c>
      <c r="B240" s="57" t="s">
        <v>83</v>
      </c>
      <c r="C240" s="23" t="s">
        <v>40</v>
      </c>
      <c r="D240" s="23" t="s">
        <v>58</v>
      </c>
      <c r="E240" s="24" t="s">
        <v>60</v>
      </c>
      <c r="F240" s="24" t="s">
        <v>56</v>
      </c>
      <c r="G240" s="64">
        <v>11.56</v>
      </c>
      <c r="H240" s="165">
        <v>11.56</v>
      </c>
      <c r="J240" s="19"/>
    </row>
    <row r="241" spans="1:10">
      <c r="A241" s="90" t="s">
        <v>172</v>
      </c>
      <c r="B241" s="57" t="s">
        <v>83</v>
      </c>
      <c r="C241" s="27" t="s">
        <v>40</v>
      </c>
      <c r="D241" s="25" t="s">
        <v>58</v>
      </c>
      <c r="E241" s="27" t="s">
        <v>173</v>
      </c>
      <c r="F241" s="27" t="s">
        <v>38</v>
      </c>
      <c r="G241" s="63">
        <f>G242+G243</f>
        <v>1201</v>
      </c>
      <c r="H241" s="150">
        <f>H242+H243</f>
        <v>1201</v>
      </c>
      <c r="J241" s="19"/>
    </row>
    <row r="242" spans="1:10" ht="43.5">
      <c r="A242" s="90" t="s">
        <v>47</v>
      </c>
      <c r="B242" s="57" t="s">
        <v>83</v>
      </c>
      <c r="C242" s="27" t="s">
        <v>40</v>
      </c>
      <c r="D242" s="25" t="s">
        <v>58</v>
      </c>
      <c r="E242" s="27" t="s">
        <v>173</v>
      </c>
      <c r="F242" s="23" t="s">
        <v>48</v>
      </c>
      <c r="G242" s="63">
        <v>1103</v>
      </c>
      <c r="H242" s="150">
        <v>1103</v>
      </c>
      <c r="J242" s="19"/>
    </row>
    <row r="243" spans="1:10">
      <c r="A243" s="90" t="s">
        <v>53</v>
      </c>
      <c r="B243" s="57" t="s">
        <v>83</v>
      </c>
      <c r="C243" s="27" t="s">
        <v>40</v>
      </c>
      <c r="D243" s="25" t="s">
        <v>58</v>
      </c>
      <c r="E243" s="27" t="s">
        <v>173</v>
      </c>
      <c r="F243" s="23" t="s">
        <v>54</v>
      </c>
      <c r="G243" s="63">
        <v>98</v>
      </c>
      <c r="H243" s="150">
        <v>98</v>
      </c>
      <c r="J243" s="19"/>
    </row>
    <row r="244" spans="1:10" ht="30">
      <c r="A244" s="102" t="s">
        <v>174</v>
      </c>
      <c r="B244" s="58" t="s">
        <v>83</v>
      </c>
      <c r="C244" s="40" t="s">
        <v>175</v>
      </c>
      <c r="D244" s="40" t="s">
        <v>36</v>
      </c>
      <c r="E244" s="39" t="s">
        <v>41</v>
      </c>
      <c r="F244" s="39" t="s">
        <v>38</v>
      </c>
      <c r="G244" s="117">
        <f>G245</f>
        <v>74856.3</v>
      </c>
      <c r="H244" s="164">
        <f>H245</f>
        <v>81109.08</v>
      </c>
      <c r="J244" s="19"/>
    </row>
    <row r="245" spans="1:10">
      <c r="A245" s="93" t="s">
        <v>176</v>
      </c>
      <c r="B245" s="53" t="s">
        <v>83</v>
      </c>
      <c r="C245" s="34" t="s">
        <v>175</v>
      </c>
      <c r="D245" s="34" t="s">
        <v>40</v>
      </c>
      <c r="E245" s="36" t="s">
        <v>41</v>
      </c>
      <c r="F245" s="36" t="s">
        <v>38</v>
      </c>
      <c r="G245" s="110">
        <f>G246+G255</f>
        <v>74856.3</v>
      </c>
      <c r="H245" s="151">
        <f>H246+H255</f>
        <v>81109.08</v>
      </c>
      <c r="J245" s="19"/>
    </row>
    <row r="246" spans="1:10">
      <c r="A246" s="96" t="s">
        <v>177</v>
      </c>
      <c r="B246" s="43" t="s">
        <v>83</v>
      </c>
      <c r="C246" s="27" t="s">
        <v>175</v>
      </c>
      <c r="D246" s="27" t="s">
        <v>40</v>
      </c>
      <c r="E246" s="26" t="s">
        <v>178</v>
      </c>
      <c r="F246" s="26" t="s">
        <v>38</v>
      </c>
      <c r="G246" s="63">
        <f>G250+G247</f>
        <v>73996.3</v>
      </c>
      <c r="H246" s="150">
        <f>H247+H250</f>
        <v>81010.75</v>
      </c>
      <c r="J246" s="19"/>
    </row>
    <row r="247" spans="1:10">
      <c r="A247" s="96" t="s">
        <v>177</v>
      </c>
      <c r="B247" s="43" t="s">
        <v>83</v>
      </c>
      <c r="C247" s="27" t="s">
        <v>175</v>
      </c>
      <c r="D247" s="27" t="s">
        <v>40</v>
      </c>
      <c r="E247" s="26" t="s">
        <v>179</v>
      </c>
      <c r="F247" s="26" t="s">
        <v>38</v>
      </c>
      <c r="G247" s="63">
        <f>G248</f>
        <v>0</v>
      </c>
      <c r="H247" s="150">
        <f>H248</f>
        <v>2118.25</v>
      </c>
      <c r="J247" s="19"/>
    </row>
    <row r="248" spans="1:10" ht="28.5">
      <c r="A248" s="96" t="s">
        <v>180</v>
      </c>
      <c r="B248" s="43" t="s">
        <v>83</v>
      </c>
      <c r="C248" s="27" t="s">
        <v>175</v>
      </c>
      <c r="D248" s="27" t="s">
        <v>40</v>
      </c>
      <c r="E248" s="26" t="s">
        <v>181</v>
      </c>
      <c r="F248" s="26" t="s">
        <v>38</v>
      </c>
      <c r="G248" s="63">
        <f>G249</f>
        <v>0</v>
      </c>
      <c r="H248" s="150">
        <f>H249</f>
        <v>2118.25</v>
      </c>
      <c r="J248" s="19"/>
    </row>
    <row r="249" spans="1:10">
      <c r="A249" s="96" t="s">
        <v>182</v>
      </c>
      <c r="B249" s="43" t="s">
        <v>83</v>
      </c>
      <c r="C249" s="27" t="s">
        <v>175</v>
      </c>
      <c r="D249" s="27" t="s">
        <v>40</v>
      </c>
      <c r="E249" s="26" t="s">
        <v>181</v>
      </c>
      <c r="F249" s="26" t="s">
        <v>183</v>
      </c>
      <c r="G249" s="63"/>
      <c r="H249" s="150">
        <v>2118.25</v>
      </c>
      <c r="J249" s="19"/>
    </row>
    <row r="250" spans="1:10">
      <c r="A250" s="96" t="s">
        <v>177</v>
      </c>
      <c r="B250" s="43" t="s">
        <v>83</v>
      </c>
      <c r="C250" s="27" t="s">
        <v>175</v>
      </c>
      <c r="D250" s="27" t="s">
        <v>40</v>
      </c>
      <c r="E250" s="26" t="s">
        <v>221</v>
      </c>
      <c r="F250" s="26" t="s">
        <v>38</v>
      </c>
      <c r="G250" s="63">
        <f>G251+G253</f>
        <v>73996.3</v>
      </c>
      <c r="H250" s="150">
        <f>H251+H253</f>
        <v>78892.5</v>
      </c>
      <c r="J250" s="19"/>
    </row>
    <row r="251" spans="1:10" ht="28.5">
      <c r="A251" s="96" t="s">
        <v>220</v>
      </c>
      <c r="B251" s="43" t="s">
        <v>83</v>
      </c>
      <c r="C251" s="27" t="s">
        <v>175</v>
      </c>
      <c r="D251" s="27" t="s">
        <v>40</v>
      </c>
      <c r="E251" s="26" t="s">
        <v>219</v>
      </c>
      <c r="F251" s="26" t="s">
        <v>38</v>
      </c>
      <c r="G251" s="63">
        <f>G252</f>
        <v>73164.3</v>
      </c>
      <c r="H251" s="150">
        <f>H252</f>
        <v>78784.5</v>
      </c>
      <c r="J251" s="19"/>
    </row>
    <row r="252" spans="1:10">
      <c r="A252" s="96" t="s">
        <v>77</v>
      </c>
      <c r="B252" s="43" t="s">
        <v>83</v>
      </c>
      <c r="C252" s="27" t="s">
        <v>175</v>
      </c>
      <c r="D252" s="27" t="s">
        <v>40</v>
      </c>
      <c r="E252" s="26" t="s">
        <v>219</v>
      </c>
      <c r="F252" s="26" t="s">
        <v>83</v>
      </c>
      <c r="G252" s="63">
        <v>73164.3</v>
      </c>
      <c r="H252" s="150">
        <v>78784.5</v>
      </c>
      <c r="J252" s="19"/>
    </row>
    <row r="253" spans="1:10" ht="28.5">
      <c r="A253" s="96" t="s">
        <v>220</v>
      </c>
      <c r="B253" s="43" t="s">
        <v>83</v>
      </c>
      <c r="C253" s="27" t="s">
        <v>175</v>
      </c>
      <c r="D253" s="27" t="s">
        <v>40</v>
      </c>
      <c r="E253" s="26" t="s">
        <v>218</v>
      </c>
      <c r="F253" s="26" t="s">
        <v>38</v>
      </c>
      <c r="G253" s="63">
        <f>G254</f>
        <v>832</v>
      </c>
      <c r="H253" s="150">
        <f>H254</f>
        <v>108</v>
      </c>
      <c r="J253" s="19"/>
    </row>
    <row r="254" spans="1:10">
      <c r="A254" s="96" t="s">
        <v>77</v>
      </c>
      <c r="B254" s="43" t="s">
        <v>83</v>
      </c>
      <c r="C254" s="27" t="s">
        <v>175</v>
      </c>
      <c r="D254" s="27" t="s">
        <v>40</v>
      </c>
      <c r="E254" s="26" t="s">
        <v>218</v>
      </c>
      <c r="F254" s="26" t="s">
        <v>83</v>
      </c>
      <c r="G254" s="63">
        <v>832</v>
      </c>
      <c r="H254" s="150">
        <v>108</v>
      </c>
      <c r="J254" s="19"/>
    </row>
    <row r="255" spans="1:10">
      <c r="A255" s="140" t="s">
        <v>184</v>
      </c>
      <c r="B255" s="43" t="s">
        <v>83</v>
      </c>
      <c r="C255" s="35" t="s">
        <v>175</v>
      </c>
      <c r="D255" s="35" t="s">
        <v>43</v>
      </c>
      <c r="E255" s="36" t="s">
        <v>37</v>
      </c>
      <c r="F255" s="36" t="s">
        <v>38</v>
      </c>
      <c r="G255" s="59">
        <f>G256</f>
        <v>860</v>
      </c>
      <c r="H255" s="135">
        <f>H256</f>
        <v>98.33</v>
      </c>
      <c r="J255" s="19"/>
    </row>
    <row r="256" spans="1:10">
      <c r="A256" s="140" t="s">
        <v>185</v>
      </c>
      <c r="B256" s="43" t="s">
        <v>83</v>
      </c>
      <c r="C256" s="35" t="s">
        <v>175</v>
      </c>
      <c r="D256" s="35" t="s">
        <v>43</v>
      </c>
      <c r="E256" s="36" t="s">
        <v>186</v>
      </c>
      <c r="F256" s="36" t="s">
        <v>38</v>
      </c>
      <c r="G256" s="59">
        <f>G257+G259</f>
        <v>860</v>
      </c>
      <c r="H256" s="135">
        <f>H257+H259</f>
        <v>98.33</v>
      </c>
      <c r="J256" s="19"/>
    </row>
    <row r="257" spans="1:10">
      <c r="A257" s="87" t="s">
        <v>187</v>
      </c>
      <c r="B257" s="43" t="s">
        <v>83</v>
      </c>
      <c r="C257" s="25" t="s">
        <v>175</v>
      </c>
      <c r="D257" s="25" t="s">
        <v>43</v>
      </c>
      <c r="E257" s="26" t="s">
        <v>188</v>
      </c>
      <c r="F257" s="26" t="s">
        <v>38</v>
      </c>
      <c r="G257" s="37">
        <f>G258</f>
        <v>860</v>
      </c>
      <c r="H257" s="136">
        <f>H258</f>
        <v>98.33</v>
      </c>
      <c r="I257" s="69"/>
      <c r="J257" s="19"/>
    </row>
    <row r="258" spans="1:10" ht="17.25" customHeight="1">
      <c r="A258" s="87" t="s">
        <v>77</v>
      </c>
      <c r="B258" s="43" t="s">
        <v>83</v>
      </c>
      <c r="C258" s="25" t="s">
        <v>175</v>
      </c>
      <c r="D258" s="25" t="s">
        <v>43</v>
      </c>
      <c r="E258" s="23" t="s">
        <v>188</v>
      </c>
      <c r="F258" s="23" t="s">
        <v>83</v>
      </c>
      <c r="G258" s="42">
        <v>860</v>
      </c>
      <c r="H258" s="106">
        <v>98.33</v>
      </c>
      <c r="I258" s="69"/>
      <c r="J258" s="19"/>
    </row>
    <row r="259" spans="1:10" hidden="1">
      <c r="A259" s="87" t="s">
        <v>187</v>
      </c>
      <c r="B259" s="43" t="s">
        <v>83</v>
      </c>
      <c r="C259" s="29" t="s">
        <v>175</v>
      </c>
      <c r="D259" s="29" t="s">
        <v>43</v>
      </c>
      <c r="E259" s="23" t="s">
        <v>229</v>
      </c>
      <c r="F259" s="23" t="s">
        <v>38</v>
      </c>
      <c r="G259" s="42">
        <f>G260</f>
        <v>0</v>
      </c>
      <c r="H259" s="106">
        <f>H260</f>
        <v>0</v>
      </c>
      <c r="I259" s="69"/>
      <c r="J259" s="19"/>
    </row>
    <row r="260" spans="1:10" hidden="1">
      <c r="A260" s="87" t="s">
        <v>77</v>
      </c>
      <c r="B260" s="43" t="s">
        <v>83</v>
      </c>
      <c r="C260" s="29" t="s">
        <v>230</v>
      </c>
      <c r="D260" s="29" t="s">
        <v>231</v>
      </c>
      <c r="E260" s="23" t="s">
        <v>229</v>
      </c>
      <c r="F260" s="23" t="s">
        <v>83</v>
      </c>
      <c r="G260" s="42"/>
      <c r="H260" s="165"/>
      <c r="I260" s="69"/>
      <c r="J260" s="19"/>
    </row>
    <row r="261" spans="1:10">
      <c r="A261" s="97" t="s">
        <v>194</v>
      </c>
      <c r="B261" s="72" t="s">
        <v>83</v>
      </c>
      <c r="C261" s="70" t="s">
        <v>195</v>
      </c>
      <c r="D261" s="70" t="s">
        <v>36</v>
      </c>
      <c r="E261" s="71" t="s">
        <v>41</v>
      </c>
      <c r="F261" s="71" t="s">
        <v>38</v>
      </c>
      <c r="G261" s="73">
        <f>G262</f>
        <v>13972.46</v>
      </c>
      <c r="H261" s="166">
        <f>H262</f>
        <v>29248.080000000002</v>
      </c>
      <c r="I261" s="69"/>
      <c r="J261" s="19"/>
    </row>
    <row r="262" spans="1:10">
      <c r="A262" s="87" t="s">
        <v>194</v>
      </c>
      <c r="B262" s="43" t="s">
        <v>83</v>
      </c>
      <c r="C262" s="29" t="s">
        <v>195</v>
      </c>
      <c r="D262" s="29" t="s">
        <v>195</v>
      </c>
      <c r="E262" s="23" t="s">
        <v>196</v>
      </c>
      <c r="F262" s="23" t="s">
        <v>38</v>
      </c>
      <c r="G262" s="64">
        <f>G263</f>
        <v>13972.46</v>
      </c>
      <c r="H262" s="165">
        <f>H263</f>
        <v>29248.080000000002</v>
      </c>
      <c r="I262" s="69"/>
      <c r="J262" s="19"/>
    </row>
    <row r="263" spans="1:10" ht="15.75" thickBot="1">
      <c r="A263" s="122" t="s">
        <v>55</v>
      </c>
      <c r="B263" s="123" t="s">
        <v>83</v>
      </c>
      <c r="C263" s="83" t="s">
        <v>195</v>
      </c>
      <c r="D263" s="83" t="s">
        <v>195</v>
      </c>
      <c r="E263" s="82" t="s">
        <v>196</v>
      </c>
      <c r="F263" s="82" t="s">
        <v>56</v>
      </c>
      <c r="G263" s="124">
        <f>14131.4-145.74-13.2</f>
        <v>13972.46</v>
      </c>
      <c r="H263" s="167">
        <v>29248.080000000002</v>
      </c>
      <c r="I263" s="69"/>
      <c r="J263" s="19"/>
    </row>
    <row r="264" spans="1:10" ht="15.75" thickBot="1">
      <c r="A264" s="138" t="s">
        <v>18</v>
      </c>
      <c r="B264" s="125"/>
      <c r="C264" s="126"/>
      <c r="D264" s="126"/>
      <c r="E264" s="126"/>
      <c r="F264" s="126"/>
      <c r="G264" s="189">
        <f>G5+G21+G90+G98+G107+G113+G169+G200+G230</f>
        <v>565255.98</v>
      </c>
      <c r="H264" s="127">
        <f>H5+H21+H90+H98+H107+H113+H169+H200+H230</f>
        <v>584961.69999999995</v>
      </c>
      <c r="I264" s="69"/>
      <c r="J264" s="19"/>
    </row>
    <row r="265" spans="1:10">
      <c r="A265" s="194"/>
      <c r="B265" s="194"/>
      <c r="C265" s="195"/>
      <c r="D265" s="195"/>
      <c r="E265" s="195"/>
      <c r="F265" s="195"/>
      <c r="G265" s="196"/>
      <c r="H265" s="69"/>
    </row>
    <row r="266" spans="1:10">
      <c r="A266" s="198" t="s">
        <v>19</v>
      </c>
      <c r="B266" s="198"/>
      <c r="C266" s="199"/>
      <c r="D266" s="199"/>
      <c r="E266" s="199"/>
      <c r="F266" s="200" t="s">
        <v>20</v>
      </c>
      <c r="G266" s="68"/>
      <c r="H266" s="68"/>
    </row>
    <row r="267" spans="1:10">
      <c r="A267" s="69"/>
      <c r="B267" s="69"/>
      <c r="C267" s="69"/>
      <c r="D267" s="69"/>
      <c r="E267" s="69"/>
      <c r="F267" s="69"/>
      <c r="G267" s="69"/>
      <c r="H267" s="68"/>
    </row>
    <row r="268" spans="1:10">
      <c r="A268" s="69"/>
      <c r="B268" s="69"/>
      <c r="C268" s="69"/>
      <c r="D268" s="69"/>
      <c r="E268" s="69"/>
      <c r="F268" s="69"/>
      <c r="G268" s="197"/>
      <c r="H268" s="68"/>
    </row>
    <row r="269" spans="1:10">
      <c r="A269" s="69"/>
      <c r="B269" s="69"/>
      <c r="C269" s="69"/>
      <c r="D269" s="69"/>
      <c r="E269" s="69"/>
      <c r="F269" s="69"/>
      <c r="G269" s="69"/>
      <c r="H269" s="69"/>
    </row>
    <row r="270" spans="1:10">
      <c r="A270" s="69"/>
      <c r="B270" s="69"/>
      <c r="C270" s="69"/>
      <c r="D270" s="69"/>
      <c r="E270" s="69"/>
      <c r="F270" s="69"/>
      <c r="G270" s="197"/>
      <c r="H270" s="197"/>
    </row>
    <row r="271" spans="1:10">
      <c r="A271" s="69"/>
      <c r="B271" s="69"/>
      <c r="C271" s="69"/>
      <c r="D271" s="69"/>
      <c r="E271" s="69"/>
      <c r="F271" s="69"/>
      <c r="G271" s="69"/>
      <c r="H271" s="69"/>
    </row>
    <row r="272" spans="1:10">
      <c r="A272" s="69"/>
      <c r="B272" s="69"/>
      <c r="C272" s="69"/>
      <c r="D272" s="69"/>
      <c r="E272" s="69"/>
      <c r="F272" s="69"/>
      <c r="G272" s="197"/>
      <c r="H272" s="197"/>
      <c r="I272" s="19"/>
    </row>
    <row r="274" spans="7:8">
      <c r="G274" s="19"/>
      <c r="H274" s="19"/>
    </row>
    <row r="275" spans="7:8">
      <c r="G275" s="19"/>
      <c r="H275" s="19"/>
    </row>
    <row r="277" spans="7:8">
      <c r="G277" s="19"/>
      <c r="H277" s="19"/>
    </row>
    <row r="280" spans="7:8">
      <c r="G280" s="19"/>
      <c r="H280" s="19"/>
    </row>
    <row r="281" spans="7:8">
      <c r="G281" s="19"/>
      <c r="H281" s="19"/>
    </row>
    <row r="282" spans="7:8">
      <c r="G282" s="19"/>
      <c r="H282" s="19"/>
    </row>
    <row r="283" spans="7:8">
      <c r="G283" s="19"/>
      <c r="H283" s="19"/>
    </row>
  </sheetData>
  <autoFilter ref="A4:H264">
    <filterColumn colId="1"/>
  </autoFilter>
  <mergeCells count="2">
    <mergeCell ref="A2:H2"/>
    <mergeCell ref="G1:H1"/>
  </mergeCells>
  <printOptions horizontalCentered="1"/>
  <pageMargins left="0.39370078740157483" right="0.39370078740157483" top="0" bottom="0" header="0.31496062992125984" footer="0.31496062992125984"/>
  <pageSetup paperSize="9" scale="55" fitToHeight="1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1"/>
  <sheetViews>
    <sheetView tabSelected="1" topLeftCell="A194" workbookViewId="0">
      <selection activeCell="G166" sqref="G166"/>
    </sheetView>
  </sheetViews>
  <sheetFormatPr defaultRowHeight="15"/>
  <cols>
    <col min="1" max="1" width="56" customWidth="1"/>
    <col min="4" max="4" width="13.42578125" customWidth="1"/>
    <col min="6" max="6" width="20" customWidth="1"/>
    <col min="7" max="7" width="18.85546875" customWidth="1"/>
  </cols>
  <sheetData>
    <row r="1" spans="1:7">
      <c r="A1" s="201"/>
      <c r="B1" s="201"/>
      <c r="C1" s="201"/>
      <c r="D1" s="201"/>
      <c r="E1" s="201"/>
      <c r="F1" s="218" t="s">
        <v>274</v>
      </c>
      <c r="G1" s="218"/>
    </row>
    <row r="2" spans="1:7" ht="86.25" hidden="1">
      <c r="A2" s="202"/>
      <c r="B2" s="202"/>
      <c r="C2" s="202"/>
      <c r="D2" s="203"/>
      <c r="E2" s="203"/>
      <c r="F2" s="204" t="s">
        <v>191</v>
      </c>
      <c r="G2" s="69"/>
    </row>
    <row r="3" spans="1:7">
      <c r="A3" s="205"/>
      <c r="B3" s="205"/>
      <c r="C3" s="205"/>
      <c r="D3" s="205"/>
      <c r="E3" s="205"/>
      <c r="F3" s="205"/>
      <c r="G3" s="69"/>
    </row>
    <row r="4" spans="1:7" ht="51.75" customHeight="1">
      <c r="A4" s="217" t="s">
        <v>237</v>
      </c>
      <c r="B4" s="217"/>
      <c r="C4" s="217"/>
      <c r="D4" s="217"/>
      <c r="E4" s="217"/>
      <c r="F4" s="217"/>
      <c r="G4" s="217"/>
    </row>
    <row r="5" spans="1:7" ht="15.75" thickBot="1">
      <c r="A5" s="192"/>
      <c r="B5" s="192"/>
      <c r="C5" s="192"/>
      <c r="D5" s="192"/>
      <c r="E5" s="192"/>
      <c r="F5" s="219" t="s">
        <v>28</v>
      </c>
      <c r="G5" s="219"/>
    </row>
    <row r="6" spans="1:7" ht="15.75" thickBot="1">
      <c r="A6" s="186" t="s">
        <v>29</v>
      </c>
      <c r="B6" s="45" t="s">
        <v>31</v>
      </c>
      <c r="C6" s="45" t="s">
        <v>32</v>
      </c>
      <c r="D6" s="45" t="s">
        <v>33</v>
      </c>
      <c r="E6" s="45" t="s">
        <v>34</v>
      </c>
      <c r="F6" s="188" t="s">
        <v>190</v>
      </c>
      <c r="G6" s="46" t="s">
        <v>223</v>
      </c>
    </row>
    <row r="7" spans="1:7">
      <c r="A7" s="152" t="s">
        <v>39</v>
      </c>
      <c r="B7" s="84" t="s">
        <v>40</v>
      </c>
      <c r="C7" s="84" t="s">
        <v>36</v>
      </c>
      <c r="D7" s="84" t="s">
        <v>41</v>
      </c>
      <c r="E7" s="85" t="s">
        <v>38</v>
      </c>
      <c r="F7" s="86">
        <f>F8+F12+F18++F29+F33+F39+F44</f>
        <v>40927.599999999999</v>
      </c>
      <c r="G7" s="153">
        <f>G8+G12+G18++G29+G33+G39+G44</f>
        <v>33444.32</v>
      </c>
    </row>
    <row r="8" spans="1:7" ht="45">
      <c r="A8" s="91" t="s">
        <v>42</v>
      </c>
      <c r="B8" s="34" t="s">
        <v>40</v>
      </c>
      <c r="C8" s="34" t="s">
        <v>43</v>
      </c>
      <c r="D8" s="34" t="s">
        <v>41</v>
      </c>
      <c r="E8" s="34" t="s">
        <v>38</v>
      </c>
      <c r="F8" s="66">
        <f t="shared" ref="F8:G10" si="0">F9</f>
        <v>1925</v>
      </c>
      <c r="G8" s="154">
        <f t="shared" si="0"/>
        <v>1925</v>
      </c>
    </row>
    <row r="9" spans="1:7" ht="57.75">
      <c r="A9" s="89" t="s">
        <v>44</v>
      </c>
      <c r="B9" s="27" t="s">
        <v>40</v>
      </c>
      <c r="C9" s="27" t="s">
        <v>43</v>
      </c>
      <c r="D9" s="27" t="s">
        <v>45</v>
      </c>
      <c r="E9" s="27" t="s">
        <v>38</v>
      </c>
      <c r="F9" s="28">
        <f t="shared" si="0"/>
        <v>1925</v>
      </c>
      <c r="G9" s="155">
        <f t="shared" si="0"/>
        <v>1925</v>
      </c>
    </row>
    <row r="10" spans="1:7" ht="57.75">
      <c r="A10" s="89" t="s">
        <v>44</v>
      </c>
      <c r="B10" s="27" t="s">
        <v>40</v>
      </c>
      <c r="C10" s="27" t="s">
        <v>43</v>
      </c>
      <c r="D10" s="27" t="s">
        <v>46</v>
      </c>
      <c r="E10" s="27" t="s">
        <v>38</v>
      </c>
      <c r="F10" s="28">
        <f t="shared" si="0"/>
        <v>1925</v>
      </c>
      <c r="G10" s="155">
        <f t="shared" si="0"/>
        <v>1925</v>
      </c>
    </row>
    <row r="11" spans="1:7" ht="72">
      <c r="A11" s="90" t="s">
        <v>47</v>
      </c>
      <c r="B11" s="27" t="s">
        <v>40</v>
      </c>
      <c r="C11" s="27" t="s">
        <v>43</v>
      </c>
      <c r="D11" s="27" t="s">
        <v>46</v>
      </c>
      <c r="E11" s="24" t="s">
        <v>48</v>
      </c>
      <c r="F11" s="28">
        <f>Лист3!G10</f>
        <v>1925</v>
      </c>
      <c r="G11" s="155">
        <f>Лист3!H10</f>
        <v>1925</v>
      </c>
    </row>
    <row r="12" spans="1:7" ht="60">
      <c r="A12" s="91" t="s">
        <v>49</v>
      </c>
      <c r="B12" s="34" t="s">
        <v>40</v>
      </c>
      <c r="C12" s="34" t="s">
        <v>50</v>
      </c>
      <c r="D12" s="34" t="s">
        <v>41</v>
      </c>
      <c r="E12" s="34" t="s">
        <v>38</v>
      </c>
      <c r="F12" s="66">
        <f>F13</f>
        <v>10172</v>
      </c>
      <c r="G12" s="154">
        <f>G13</f>
        <v>7655.1</v>
      </c>
    </row>
    <row r="13" spans="1:7" ht="57.75">
      <c r="A13" s="89" t="s">
        <v>44</v>
      </c>
      <c r="B13" s="27" t="s">
        <v>40</v>
      </c>
      <c r="C13" s="27" t="s">
        <v>50</v>
      </c>
      <c r="D13" s="27" t="s">
        <v>45</v>
      </c>
      <c r="E13" s="27" t="s">
        <v>38</v>
      </c>
      <c r="F13" s="28">
        <f>F14</f>
        <v>10172</v>
      </c>
      <c r="G13" s="155">
        <f>G14</f>
        <v>7655.1</v>
      </c>
    </row>
    <row r="14" spans="1:7">
      <c r="A14" s="92" t="s">
        <v>51</v>
      </c>
      <c r="B14" s="27" t="s">
        <v>40</v>
      </c>
      <c r="C14" s="27" t="s">
        <v>50</v>
      </c>
      <c r="D14" s="27" t="s">
        <v>52</v>
      </c>
      <c r="E14" s="27" t="s">
        <v>38</v>
      </c>
      <c r="F14" s="28">
        <f>F15+F16+F17</f>
        <v>10172</v>
      </c>
      <c r="G14" s="155">
        <f>G15+G16+G17</f>
        <v>7655.1</v>
      </c>
    </row>
    <row r="15" spans="1:7" ht="72">
      <c r="A15" s="90" t="s">
        <v>47</v>
      </c>
      <c r="B15" s="27" t="s">
        <v>40</v>
      </c>
      <c r="C15" s="27" t="s">
        <v>50</v>
      </c>
      <c r="D15" s="27" t="s">
        <v>52</v>
      </c>
      <c r="E15" s="24" t="s">
        <v>48</v>
      </c>
      <c r="F15" s="28">
        <f>Лист3!G14</f>
        <v>4640</v>
      </c>
      <c r="G15" s="155">
        <f>Лист3!H14</f>
        <v>4623.1000000000004</v>
      </c>
    </row>
    <row r="16" spans="1:7" ht="29.25">
      <c r="A16" s="90" t="s">
        <v>53</v>
      </c>
      <c r="B16" s="27" t="s">
        <v>40</v>
      </c>
      <c r="C16" s="27" t="s">
        <v>50</v>
      </c>
      <c r="D16" s="27" t="s">
        <v>52</v>
      </c>
      <c r="E16" s="24" t="s">
        <v>54</v>
      </c>
      <c r="F16" s="28">
        <f>Лист3!G15</f>
        <v>5352</v>
      </c>
      <c r="G16" s="155">
        <f>Лист3!H15</f>
        <v>2852</v>
      </c>
    </row>
    <row r="17" spans="1:7">
      <c r="A17" s="90" t="s">
        <v>55</v>
      </c>
      <c r="B17" s="27" t="s">
        <v>40</v>
      </c>
      <c r="C17" s="27" t="s">
        <v>50</v>
      </c>
      <c r="D17" s="27" t="s">
        <v>52</v>
      </c>
      <c r="E17" s="24" t="s">
        <v>56</v>
      </c>
      <c r="F17" s="28">
        <f>Лист3!G16</f>
        <v>180</v>
      </c>
      <c r="G17" s="155">
        <f>Лист3!H16</f>
        <v>180</v>
      </c>
    </row>
    <row r="18" spans="1:7" ht="60">
      <c r="A18" s="91" t="s">
        <v>63</v>
      </c>
      <c r="B18" s="35" t="s">
        <v>40</v>
      </c>
      <c r="C18" s="35" t="s">
        <v>64</v>
      </c>
      <c r="D18" s="34" t="s">
        <v>41</v>
      </c>
      <c r="E18" s="36" t="s">
        <v>38</v>
      </c>
      <c r="F18" s="59">
        <f>F19+F24</f>
        <v>12408.199999999999</v>
      </c>
      <c r="G18" s="135">
        <f>G19+G24</f>
        <v>9731.1999999999989</v>
      </c>
    </row>
    <row r="19" spans="1:7" ht="57.75">
      <c r="A19" s="89" t="s">
        <v>44</v>
      </c>
      <c r="B19" s="25" t="s">
        <v>40</v>
      </c>
      <c r="C19" s="25" t="s">
        <v>64</v>
      </c>
      <c r="D19" s="26" t="s">
        <v>45</v>
      </c>
      <c r="E19" s="26" t="s">
        <v>38</v>
      </c>
      <c r="F19" s="37">
        <f>F20</f>
        <v>11875.4</v>
      </c>
      <c r="G19" s="136">
        <f>G20</f>
        <v>9175.4</v>
      </c>
    </row>
    <row r="20" spans="1:7">
      <c r="A20" s="96" t="s">
        <v>65</v>
      </c>
      <c r="B20" s="25" t="s">
        <v>40</v>
      </c>
      <c r="C20" s="25" t="s">
        <v>64</v>
      </c>
      <c r="D20" s="26" t="s">
        <v>52</v>
      </c>
      <c r="E20" s="26" t="s">
        <v>38</v>
      </c>
      <c r="F20" s="37">
        <f>F21+F22+F23</f>
        <v>11875.4</v>
      </c>
      <c r="G20" s="136">
        <f>G21+G22+G23</f>
        <v>9175.4</v>
      </c>
    </row>
    <row r="21" spans="1:7" ht="28.5">
      <c r="A21" s="96" t="s">
        <v>66</v>
      </c>
      <c r="B21" s="25" t="s">
        <v>40</v>
      </c>
      <c r="C21" s="25" t="s">
        <v>64</v>
      </c>
      <c r="D21" s="26" t="s">
        <v>52</v>
      </c>
      <c r="E21" s="23" t="s">
        <v>48</v>
      </c>
      <c r="F21" s="42">
        <f>Лист3!G26+Лист3!G118+Лист3!G174+Лист3!G205</f>
        <v>7068.4</v>
      </c>
      <c r="G21" s="106">
        <f>Лист3!H26+Лист3!H118+Лист3!H174+Лист3!H205</f>
        <v>7068.4</v>
      </c>
    </row>
    <row r="22" spans="1:7" ht="29.25">
      <c r="A22" s="90" t="s">
        <v>53</v>
      </c>
      <c r="B22" s="25" t="s">
        <v>40</v>
      </c>
      <c r="C22" s="25" t="s">
        <v>64</v>
      </c>
      <c r="D22" s="26" t="s">
        <v>52</v>
      </c>
      <c r="E22" s="23" t="s">
        <v>54</v>
      </c>
      <c r="F22" s="42">
        <f>Лист3!G206+Лист3!G175+Лист3!G119+Лист3!G27</f>
        <v>4757</v>
      </c>
      <c r="G22" s="106">
        <f>Лист3!H27+Лист3!H119+Лист3!H175+Лист3!H206</f>
        <v>2057</v>
      </c>
    </row>
    <row r="23" spans="1:7">
      <c r="A23" s="90" t="s">
        <v>55</v>
      </c>
      <c r="B23" s="25" t="s">
        <v>40</v>
      </c>
      <c r="C23" s="25" t="s">
        <v>64</v>
      </c>
      <c r="D23" s="26" t="s">
        <v>52</v>
      </c>
      <c r="E23" s="23" t="s">
        <v>56</v>
      </c>
      <c r="F23" s="42">
        <f>Лист3!G28</f>
        <v>50</v>
      </c>
      <c r="G23" s="106">
        <f>Лист3!H28</f>
        <v>50</v>
      </c>
    </row>
    <row r="24" spans="1:7">
      <c r="A24" s="173" t="s">
        <v>239</v>
      </c>
      <c r="B24" s="26" t="s">
        <v>40</v>
      </c>
      <c r="C24" s="26" t="s">
        <v>64</v>
      </c>
      <c r="D24" s="26" t="s">
        <v>241</v>
      </c>
      <c r="E24" s="23" t="s">
        <v>38</v>
      </c>
      <c r="F24" s="42">
        <f>F25+F27</f>
        <v>532.79999999999995</v>
      </c>
      <c r="G24" s="106">
        <f>G25+G27</f>
        <v>555.79999999999995</v>
      </c>
    </row>
    <row r="25" spans="1:7" ht="42.75">
      <c r="A25" s="96" t="s">
        <v>166</v>
      </c>
      <c r="B25" s="23" t="s">
        <v>40</v>
      </c>
      <c r="C25" s="23" t="s">
        <v>64</v>
      </c>
      <c r="D25" s="23" t="s">
        <v>243</v>
      </c>
      <c r="E25" s="23" t="s">
        <v>38</v>
      </c>
      <c r="F25" s="37">
        <f>F26</f>
        <v>266.39999999999998</v>
      </c>
      <c r="G25" s="136">
        <f>G26</f>
        <v>277.89999999999998</v>
      </c>
    </row>
    <row r="26" spans="1:7" ht="72">
      <c r="A26" s="90" t="s">
        <v>47</v>
      </c>
      <c r="B26" s="23" t="s">
        <v>40</v>
      </c>
      <c r="C26" s="23" t="s">
        <v>64</v>
      </c>
      <c r="D26" s="26" t="s">
        <v>243</v>
      </c>
      <c r="E26" s="23" t="s">
        <v>48</v>
      </c>
      <c r="F26" s="37">
        <f>Лист3!G208</f>
        <v>266.39999999999998</v>
      </c>
      <c r="G26" s="136">
        <f>Лист3!H208</f>
        <v>277.89999999999998</v>
      </c>
    </row>
    <row r="27" spans="1:7" ht="28.5">
      <c r="A27" s="87" t="s">
        <v>111</v>
      </c>
      <c r="B27" s="23" t="s">
        <v>40</v>
      </c>
      <c r="C27" s="23" t="s">
        <v>64</v>
      </c>
      <c r="D27" s="26" t="s">
        <v>243</v>
      </c>
      <c r="E27" s="26" t="s">
        <v>38</v>
      </c>
      <c r="F27" s="37">
        <f>F28</f>
        <v>266.39999999999998</v>
      </c>
      <c r="G27" s="136">
        <f>G28</f>
        <v>277.89999999999998</v>
      </c>
    </row>
    <row r="28" spans="1:7" ht="72">
      <c r="A28" s="90" t="s">
        <v>47</v>
      </c>
      <c r="B28" s="23" t="s">
        <v>40</v>
      </c>
      <c r="C28" s="23" t="s">
        <v>64</v>
      </c>
      <c r="D28" s="26" t="s">
        <v>243</v>
      </c>
      <c r="E28" s="23" t="s">
        <v>48</v>
      </c>
      <c r="F28" s="37">
        <f>Лист3!G122</f>
        <v>266.39999999999998</v>
      </c>
      <c r="G28" s="136">
        <f>Лист3!H122</f>
        <v>277.89999999999998</v>
      </c>
    </row>
    <row r="29" spans="1:7">
      <c r="A29" s="134" t="s">
        <v>216</v>
      </c>
      <c r="B29" s="32" t="s">
        <v>40</v>
      </c>
      <c r="C29" s="32" t="s">
        <v>199</v>
      </c>
      <c r="D29" s="36" t="s">
        <v>41</v>
      </c>
      <c r="E29" s="32" t="s">
        <v>38</v>
      </c>
      <c r="F29" s="59">
        <f t="shared" ref="F29:G31" si="1">F30</f>
        <v>13.2</v>
      </c>
      <c r="G29" s="135">
        <f t="shared" si="1"/>
        <v>0</v>
      </c>
    </row>
    <row r="30" spans="1:7">
      <c r="A30" s="173" t="s">
        <v>239</v>
      </c>
      <c r="B30" s="23" t="s">
        <v>40</v>
      </c>
      <c r="C30" s="23" t="s">
        <v>199</v>
      </c>
      <c r="D30" s="26" t="s">
        <v>241</v>
      </c>
      <c r="E30" s="23" t="s">
        <v>38</v>
      </c>
      <c r="F30" s="37">
        <f t="shared" si="1"/>
        <v>13.2</v>
      </c>
      <c r="G30" s="136">
        <f t="shared" si="1"/>
        <v>0</v>
      </c>
    </row>
    <row r="31" spans="1:7" ht="43.5">
      <c r="A31" s="90" t="s">
        <v>217</v>
      </c>
      <c r="B31" s="23" t="s">
        <v>40</v>
      </c>
      <c r="C31" s="23" t="s">
        <v>199</v>
      </c>
      <c r="D31" s="26" t="s">
        <v>265</v>
      </c>
      <c r="E31" s="23" t="s">
        <v>38</v>
      </c>
      <c r="F31" s="37">
        <f t="shared" si="1"/>
        <v>13.2</v>
      </c>
      <c r="G31" s="136">
        <f t="shared" si="1"/>
        <v>0</v>
      </c>
    </row>
    <row r="32" spans="1:7" ht="29.25">
      <c r="A32" s="90" t="s">
        <v>53</v>
      </c>
      <c r="B32" s="23" t="s">
        <v>40</v>
      </c>
      <c r="C32" s="23" t="s">
        <v>199</v>
      </c>
      <c r="D32" s="26" t="s">
        <v>265</v>
      </c>
      <c r="E32" s="23" t="s">
        <v>54</v>
      </c>
      <c r="F32" s="37">
        <f>Лист3!G32</f>
        <v>13.2</v>
      </c>
      <c r="G32" s="136">
        <v>0</v>
      </c>
    </row>
    <row r="33" spans="1:7" ht="45">
      <c r="A33" s="93" t="s">
        <v>99</v>
      </c>
      <c r="B33" s="35" t="s">
        <v>40</v>
      </c>
      <c r="C33" s="35" t="s">
        <v>85</v>
      </c>
      <c r="D33" s="36" t="s">
        <v>41</v>
      </c>
      <c r="E33" s="36" t="s">
        <v>38</v>
      </c>
      <c r="F33" s="59">
        <f>F34</f>
        <v>6008.82</v>
      </c>
      <c r="G33" s="135">
        <f>G34</f>
        <v>5315.6</v>
      </c>
    </row>
    <row r="34" spans="1:7" ht="57.75">
      <c r="A34" s="89" t="s">
        <v>44</v>
      </c>
      <c r="B34" s="25" t="s">
        <v>40</v>
      </c>
      <c r="C34" s="25" t="s">
        <v>85</v>
      </c>
      <c r="D34" s="26" t="s">
        <v>45</v>
      </c>
      <c r="E34" s="26" t="s">
        <v>38</v>
      </c>
      <c r="F34" s="37">
        <f>F35</f>
        <v>6008.82</v>
      </c>
      <c r="G34" s="136">
        <f>G35</f>
        <v>5315.6</v>
      </c>
    </row>
    <row r="35" spans="1:7">
      <c r="A35" s="96" t="s">
        <v>65</v>
      </c>
      <c r="B35" s="25" t="s">
        <v>40</v>
      </c>
      <c r="C35" s="25" t="s">
        <v>85</v>
      </c>
      <c r="D35" s="26" t="s">
        <v>52</v>
      </c>
      <c r="E35" s="26" t="s">
        <v>38</v>
      </c>
      <c r="F35" s="37">
        <f>F36+F37+F38</f>
        <v>6008.82</v>
      </c>
      <c r="G35" s="136">
        <f>G36+G37+G38</f>
        <v>5315.6</v>
      </c>
    </row>
    <row r="36" spans="1:7" ht="72">
      <c r="A36" s="90" t="s">
        <v>47</v>
      </c>
      <c r="B36" s="25" t="s">
        <v>40</v>
      </c>
      <c r="C36" s="25" t="s">
        <v>85</v>
      </c>
      <c r="D36" s="26" t="s">
        <v>52</v>
      </c>
      <c r="E36" s="23" t="s">
        <v>48</v>
      </c>
      <c r="F36" s="37">
        <f>Лист3!G95+Лист3!G235</f>
        <v>4375</v>
      </c>
      <c r="G36" s="136">
        <f>Лист3!H95+Лист3!H235</f>
        <v>4075.1</v>
      </c>
    </row>
    <row r="37" spans="1:7" ht="29.25">
      <c r="A37" s="90" t="s">
        <v>53</v>
      </c>
      <c r="B37" s="25" t="s">
        <v>40</v>
      </c>
      <c r="C37" s="25" t="s">
        <v>85</v>
      </c>
      <c r="D37" s="26" t="s">
        <v>52</v>
      </c>
      <c r="E37" s="23" t="s">
        <v>54</v>
      </c>
      <c r="F37" s="37">
        <f>Лист3!G96+Лист3!G236</f>
        <v>1625.32</v>
      </c>
      <c r="G37" s="136">
        <f>Лист3!H96+Лист3!H236</f>
        <v>1232</v>
      </c>
    </row>
    <row r="38" spans="1:7">
      <c r="A38" s="90" t="s">
        <v>55</v>
      </c>
      <c r="B38" s="25" t="s">
        <v>40</v>
      </c>
      <c r="C38" s="25" t="s">
        <v>85</v>
      </c>
      <c r="D38" s="26" t="s">
        <v>52</v>
      </c>
      <c r="E38" s="23" t="s">
        <v>56</v>
      </c>
      <c r="F38" s="37">
        <f>Лист3!G97</f>
        <v>8.5</v>
      </c>
      <c r="G38" s="136">
        <f>Лист3!H97</f>
        <v>8.5</v>
      </c>
    </row>
    <row r="39" spans="1:7">
      <c r="A39" s="93" t="s">
        <v>67</v>
      </c>
      <c r="B39" s="35" t="s">
        <v>40</v>
      </c>
      <c r="C39" s="35" t="s">
        <v>68</v>
      </c>
      <c r="D39" s="36" t="s">
        <v>41</v>
      </c>
      <c r="E39" s="36" t="s">
        <v>38</v>
      </c>
      <c r="F39" s="59">
        <f t="shared" ref="F39:G42" si="2">F40</f>
        <v>3838.6</v>
      </c>
      <c r="G39" s="135">
        <f t="shared" si="2"/>
        <v>2529.92</v>
      </c>
    </row>
    <row r="40" spans="1:7">
      <c r="A40" s="96" t="s">
        <v>67</v>
      </c>
      <c r="B40" s="25" t="s">
        <v>40</v>
      </c>
      <c r="C40" s="25" t="s">
        <v>68</v>
      </c>
      <c r="D40" s="26" t="s">
        <v>69</v>
      </c>
      <c r="E40" s="26" t="s">
        <v>38</v>
      </c>
      <c r="F40" s="37">
        <f t="shared" si="2"/>
        <v>3838.6</v>
      </c>
      <c r="G40" s="136">
        <f t="shared" si="2"/>
        <v>2529.92</v>
      </c>
    </row>
    <row r="41" spans="1:7">
      <c r="A41" s="96" t="s">
        <v>70</v>
      </c>
      <c r="B41" s="25" t="s">
        <v>40</v>
      </c>
      <c r="C41" s="25" t="s">
        <v>68</v>
      </c>
      <c r="D41" s="26" t="s">
        <v>69</v>
      </c>
      <c r="E41" s="26" t="s">
        <v>38</v>
      </c>
      <c r="F41" s="37">
        <f t="shared" si="2"/>
        <v>3838.6</v>
      </c>
      <c r="G41" s="136">
        <f t="shared" si="2"/>
        <v>2529.92</v>
      </c>
    </row>
    <row r="42" spans="1:7">
      <c r="A42" s="89" t="s">
        <v>71</v>
      </c>
      <c r="B42" s="25" t="s">
        <v>40</v>
      </c>
      <c r="C42" s="25" t="s">
        <v>68</v>
      </c>
      <c r="D42" s="26" t="s">
        <v>72</v>
      </c>
      <c r="E42" s="26" t="s">
        <v>38</v>
      </c>
      <c r="F42" s="37">
        <f t="shared" si="2"/>
        <v>3838.6</v>
      </c>
      <c r="G42" s="136">
        <f t="shared" si="2"/>
        <v>2529.92</v>
      </c>
    </row>
    <row r="43" spans="1:7">
      <c r="A43" s="90" t="s">
        <v>55</v>
      </c>
      <c r="B43" s="25" t="s">
        <v>40</v>
      </c>
      <c r="C43" s="25" t="s">
        <v>68</v>
      </c>
      <c r="D43" s="26" t="s">
        <v>72</v>
      </c>
      <c r="E43" s="23" t="s">
        <v>56</v>
      </c>
      <c r="F43" s="37">
        <v>3838.6</v>
      </c>
      <c r="G43" s="136">
        <f>Лист3!H37</f>
        <v>2529.92</v>
      </c>
    </row>
    <row r="44" spans="1:7">
      <c r="A44" s="93" t="s">
        <v>57</v>
      </c>
      <c r="B44" s="35" t="s">
        <v>40</v>
      </c>
      <c r="C44" s="35" t="s">
        <v>58</v>
      </c>
      <c r="D44" s="36" t="s">
        <v>41</v>
      </c>
      <c r="E44" s="36" t="s">
        <v>38</v>
      </c>
      <c r="F44" s="59">
        <f>F47+F56+F60+F63+F66</f>
        <v>6561.7800000000007</v>
      </c>
      <c r="G44" s="135">
        <f>G47+G56+G60+G63+G66</f>
        <v>6287.5</v>
      </c>
    </row>
    <row r="45" spans="1:7" ht="29.25" hidden="1">
      <c r="A45" s="89" t="s">
        <v>214</v>
      </c>
      <c r="B45" s="25" t="s">
        <v>40</v>
      </c>
      <c r="C45" s="25" t="s">
        <v>58</v>
      </c>
      <c r="D45" s="26" t="s">
        <v>215</v>
      </c>
      <c r="E45" s="26" t="s">
        <v>38</v>
      </c>
      <c r="F45" s="109"/>
      <c r="G45" s="108"/>
    </row>
    <row r="46" spans="1:7" ht="29.25" hidden="1">
      <c r="A46" s="90" t="s">
        <v>53</v>
      </c>
      <c r="B46" s="25" t="s">
        <v>40</v>
      </c>
      <c r="C46" s="25" t="s">
        <v>58</v>
      </c>
      <c r="D46" s="26" t="s">
        <v>215</v>
      </c>
      <c r="E46" s="26" t="s">
        <v>54</v>
      </c>
      <c r="F46" s="109"/>
      <c r="G46" s="137"/>
    </row>
    <row r="47" spans="1:7" ht="57.75">
      <c r="A47" s="89" t="s">
        <v>44</v>
      </c>
      <c r="B47" s="25" t="s">
        <v>40</v>
      </c>
      <c r="C47" s="25" t="s">
        <v>58</v>
      </c>
      <c r="D47" s="26" t="s">
        <v>45</v>
      </c>
      <c r="E47" s="26" t="s">
        <v>38</v>
      </c>
      <c r="F47" s="37">
        <f>F48+F51+F53</f>
        <v>3230.4</v>
      </c>
      <c r="G47" s="136">
        <f>G48+G51+G53</f>
        <v>2778.1</v>
      </c>
    </row>
    <row r="48" spans="1:7">
      <c r="A48" s="96" t="s">
        <v>65</v>
      </c>
      <c r="B48" s="25" t="s">
        <v>40</v>
      </c>
      <c r="C48" s="25" t="s">
        <v>58</v>
      </c>
      <c r="D48" s="26" t="s">
        <v>52</v>
      </c>
      <c r="E48" s="26" t="s">
        <v>38</v>
      </c>
      <c r="F48" s="37">
        <f>F49+F50</f>
        <v>2696</v>
      </c>
      <c r="G48" s="136">
        <f>G49+G50</f>
        <v>2243.6999999999998</v>
      </c>
    </row>
    <row r="49" spans="1:7" ht="72">
      <c r="A49" s="90" t="s">
        <v>47</v>
      </c>
      <c r="B49" s="25" t="s">
        <v>40</v>
      </c>
      <c r="C49" s="29" t="s">
        <v>58</v>
      </c>
      <c r="D49" s="26" t="s">
        <v>52</v>
      </c>
      <c r="E49" s="23" t="s">
        <v>48</v>
      </c>
      <c r="F49" s="37">
        <f>Лист3!G103</f>
        <v>1434</v>
      </c>
      <c r="G49" s="136">
        <f>Лист3!H103</f>
        <v>1290.0999999999999</v>
      </c>
    </row>
    <row r="50" spans="1:7" ht="29.25">
      <c r="A50" s="90" t="s">
        <v>53</v>
      </c>
      <c r="B50" s="25" t="s">
        <v>40</v>
      </c>
      <c r="C50" s="29" t="s">
        <v>58</v>
      </c>
      <c r="D50" s="26" t="s">
        <v>52</v>
      </c>
      <c r="E50" s="23" t="s">
        <v>54</v>
      </c>
      <c r="F50" s="37">
        <f>Лист3!G104</f>
        <v>1262</v>
      </c>
      <c r="G50" s="136">
        <f>Лист3!H104</f>
        <v>953.6</v>
      </c>
    </row>
    <row r="51" spans="1:7" ht="29.25">
      <c r="A51" s="94" t="s">
        <v>59</v>
      </c>
      <c r="B51" s="23" t="s">
        <v>40</v>
      </c>
      <c r="C51" s="23" t="s">
        <v>58</v>
      </c>
      <c r="D51" s="24" t="s">
        <v>60</v>
      </c>
      <c r="E51" s="24" t="s">
        <v>38</v>
      </c>
      <c r="F51" s="42">
        <f>F52</f>
        <v>322.8</v>
      </c>
      <c r="G51" s="106">
        <f>G52</f>
        <v>322.8</v>
      </c>
    </row>
    <row r="52" spans="1:7">
      <c r="A52" s="90" t="s">
        <v>55</v>
      </c>
      <c r="B52" s="23" t="s">
        <v>40</v>
      </c>
      <c r="C52" s="23" t="s">
        <v>58</v>
      </c>
      <c r="D52" s="24" t="s">
        <v>60</v>
      </c>
      <c r="E52" s="24" t="s">
        <v>56</v>
      </c>
      <c r="F52" s="42">
        <f>Лист3!G240+Лист3!G215+Лист3!G106+Лист3!G41+Лист3!G20</f>
        <v>322.8</v>
      </c>
      <c r="G52" s="106">
        <f>Лист3!H240+Лист3!H215+Лист3!H106+Лист3!H41+Лист3!H20</f>
        <v>322.8</v>
      </c>
    </row>
    <row r="53" spans="1:7" ht="28.5">
      <c r="A53" s="96" t="s">
        <v>75</v>
      </c>
      <c r="B53" s="25" t="s">
        <v>40</v>
      </c>
      <c r="C53" s="25" t="s">
        <v>58</v>
      </c>
      <c r="D53" s="26" t="s">
        <v>167</v>
      </c>
      <c r="E53" s="26" t="s">
        <v>38</v>
      </c>
      <c r="F53" s="37">
        <f>F54+F55</f>
        <v>211.6</v>
      </c>
      <c r="G53" s="136">
        <f>G54+G55</f>
        <v>211.6</v>
      </c>
    </row>
    <row r="54" spans="1:7" ht="72">
      <c r="A54" s="90" t="s">
        <v>47</v>
      </c>
      <c r="B54" s="25" t="s">
        <v>40</v>
      </c>
      <c r="C54" s="25" t="s">
        <v>58</v>
      </c>
      <c r="D54" s="26" t="s">
        <v>167</v>
      </c>
      <c r="E54" s="23" t="s">
        <v>48</v>
      </c>
      <c r="F54" s="37">
        <f>Лист3!G212</f>
        <v>206</v>
      </c>
      <c r="G54" s="136">
        <v>206</v>
      </c>
    </row>
    <row r="55" spans="1:7" ht="29.25">
      <c r="A55" s="90" t="s">
        <v>53</v>
      </c>
      <c r="B55" s="25" t="s">
        <v>40</v>
      </c>
      <c r="C55" s="25" t="s">
        <v>58</v>
      </c>
      <c r="D55" s="26" t="s">
        <v>167</v>
      </c>
      <c r="E55" s="23" t="s">
        <v>54</v>
      </c>
      <c r="F55" s="37">
        <f>Лист3!G213</f>
        <v>5.6</v>
      </c>
      <c r="G55" s="136">
        <v>5.6</v>
      </c>
    </row>
    <row r="56" spans="1:7" ht="29.25">
      <c r="A56" s="172" t="s">
        <v>247</v>
      </c>
      <c r="B56" s="26" t="s">
        <v>40</v>
      </c>
      <c r="C56" s="26" t="s">
        <v>58</v>
      </c>
      <c r="D56" s="26" t="s">
        <v>248</v>
      </c>
      <c r="E56" s="26" t="s">
        <v>38</v>
      </c>
      <c r="F56" s="63">
        <f>F58+F59</f>
        <v>496.4</v>
      </c>
      <c r="G56" s="150">
        <f>G58+G59</f>
        <v>516.9</v>
      </c>
    </row>
    <row r="57" spans="1:7" ht="29.25">
      <c r="A57" s="172" t="s">
        <v>250</v>
      </c>
      <c r="B57" s="26" t="s">
        <v>40</v>
      </c>
      <c r="C57" s="26" t="s">
        <v>58</v>
      </c>
      <c r="D57" s="26" t="s">
        <v>249</v>
      </c>
      <c r="E57" s="26" t="s">
        <v>38</v>
      </c>
      <c r="F57" s="63">
        <f>F58+F59</f>
        <v>496.4</v>
      </c>
      <c r="G57" s="150">
        <f>G58+G59</f>
        <v>516.9</v>
      </c>
    </row>
    <row r="58" spans="1:7" ht="72">
      <c r="A58" s="90" t="s">
        <v>47</v>
      </c>
      <c r="B58" s="26" t="s">
        <v>40</v>
      </c>
      <c r="C58" s="26" t="s">
        <v>58</v>
      </c>
      <c r="D58" s="26" t="s">
        <v>249</v>
      </c>
      <c r="E58" s="23" t="s">
        <v>48</v>
      </c>
      <c r="F58" s="63">
        <v>490</v>
      </c>
      <c r="G58" s="150">
        <v>510.5</v>
      </c>
    </row>
    <row r="59" spans="1:7" ht="29.25">
      <c r="A59" s="90" t="s">
        <v>53</v>
      </c>
      <c r="B59" s="26" t="s">
        <v>40</v>
      </c>
      <c r="C59" s="26" t="s">
        <v>58</v>
      </c>
      <c r="D59" s="26" t="s">
        <v>249</v>
      </c>
      <c r="E59" s="23" t="s">
        <v>54</v>
      </c>
      <c r="F59" s="63">
        <v>6.4</v>
      </c>
      <c r="G59" s="150">
        <v>6.4</v>
      </c>
    </row>
    <row r="60" spans="1:7">
      <c r="A60" s="90" t="s">
        <v>172</v>
      </c>
      <c r="B60" s="27" t="s">
        <v>40</v>
      </c>
      <c r="C60" s="25" t="s">
        <v>58</v>
      </c>
      <c r="D60" s="27" t="s">
        <v>173</v>
      </c>
      <c r="E60" s="27" t="s">
        <v>38</v>
      </c>
      <c r="F60" s="37">
        <f>F61+F62</f>
        <v>1201</v>
      </c>
      <c r="G60" s="136">
        <f>G61+G62</f>
        <v>1201</v>
      </c>
    </row>
    <row r="61" spans="1:7" ht="72">
      <c r="A61" s="90" t="s">
        <v>47</v>
      </c>
      <c r="B61" s="27" t="s">
        <v>40</v>
      </c>
      <c r="C61" s="25" t="s">
        <v>58</v>
      </c>
      <c r="D61" s="27" t="s">
        <v>173</v>
      </c>
      <c r="E61" s="23" t="s">
        <v>48</v>
      </c>
      <c r="F61" s="37">
        <v>1103</v>
      </c>
      <c r="G61" s="136">
        <f>Лист3!H242</f>
        <v>1103</v>
      </c>
    </row>
    <row r="62" spans="1:7" ht="29.25">
      <c r="A62" s="90" t="s">
        <v>53</v>
      </c>
      <c r="B62" s="27" t="s">
        <v>40</v>
      </c>
      <c r="C62" s="25" t="s">
        <v>58</v>
      </c>
      <c r="D62" s="27" t="s">
        <v>173</v>
      </c>
      <c r="E62" s="23" t="s">
        <v>54</v>
      </c>
      <c r="F62" s="37">
        <v>98</v>
      </c>
      <c r="G62" s="136">
        <f>Лист3!H243</f>
        <v>98</v>
      </c>
    </row>
    <row r="63" spans="1:7" ht="29.25">
      <c r="A63" s="90" t="s">
        <v>73</v>
      </c>
      <c r="B63" s="27" t="s">
        <v>40</v>
      </c>
      <c r="C63" s="25" t="s">
        <v>58</v>
      </c>
      <c r="D63" s="24" t="s">
        <v>74</v>
      </c>
      <c r="E63" s="27" t="s">
        <v>38</v>
      </c>
      <c r="F63" s="28">
        <f>F64</f>
        <v>286</v>
      </c>
      <c r="G63" s="155">
        <f>G64</f>
        <v>351</v>
      </c>
    </row>
    <row r="64" spans="1:7" ht="29.25">
      <c r="A64" s="90" t="s">
        <v>75</v>
      </c>
      <c r="B64" s="27" t="s">
        <v>40</v>
      </c>
      <c r="C64" s="25" t="s">
        <v>58</v>
      </c>
      <c r="D64" s="24" t="s">
        <v>76</v>
      </c>
      <c r="E64" s="24" t="s">
        <v>38</v>
      </c>
      <c r="F64" s="28">
        <f>F65</f>
        <v>286</v>
      </c>
      <c r="G64" s="155">
        <f>G65</f>
        <v>351</v>
      </c>
    </row>
    <row r="65" spans="1:7" ht="72">
      <c r="A65" s="90" t="s">
        <v>47</v>
      </c>
      <c r="B65" s="27" t="s">
        <v>40</v>
      </c>
      <c r="C65" s="25" t="s">
        <v>58</v>
      </c>
      <c r="D65" s="24" t="s">
        <v>76</v>
      </c>
      <c r="E65" s="23" t="s">
        <v>48</v>
      </c>
      <c r="F65" s="28">
        <v>286</v>
      </c>
      <c r="G65" s="155">
        <v>351</v>
      </c>
    </row>
    <row r="66" spans="1:7">
      <c r="A66" s="87" t="s">
        <v>77</v>
      </c>
      <c r="B66" s="26" t="s">
        <v>40</v>
      </c>
      <c r="C66" s="26" t="s">
        <v>58</v>
      </c>
      <c r="D66" s="26" t="s">
        <v>241</v>
      </c>
      <c r="E66" s="23" t="s">
        <v>38</v>
      </c>
      <c r="F66" s="37">
        <f>F67+F70+F73+F77+F80</f>
        <v>1347.98</v>
      </c>
      <c r="G66" s="136">
        <f>G67+G70+G73+G77+G80</f>
        <v>1440.5</v>
      </c>
    </row>
    <row r="67" spans="1:7" ht="43.5">
      <c r="A67" s="90" t="s">
        <v>78</v>
      </c>
      <c r="B67" s="26" t="s">
        <v>40</v>
      </c>
      <c r="C67" s="26" t="s">
        <v>58</v>
      </c>
      <c r="D67" s="26" t="s">
        <v>245</v>
      </c>
      <c r="E67" s="26" t="s">
        <v>38</v>
      </c>
      <c r="F67" s="37">
        <f>F68+F69</f>
        <v>284.2</v>
      </c>
      <c r="G67" s="136">
        <f>G68+G69</f>
        <v>296</v>
      </c>
    </row>
    <row r="68" spans="1:7" ht="72">
      <c r="A68" s="90" t="s">
        <v>47</v>
      </c>
      <c r="B68" s="26" t="s">
        <v>40</v>
      </c>
      <c r="C68" s="26" t="s">
        <v>58</v>
      </c>
      <c r="D68" s="26" t="s">
        <v>245</v>
      </c>
      <c r="E68" s="23" t="s">
        <v>48</v>
      </c>
      <c r="F68" s="37">
        <f>Лист3!G51</f>
        <v>283.5</v>
      </c>
      <c r="G68" s="136">
        <f>Лист3!H51</f>
        <v>295.3</v>
      </c>
    </row>
    <row r="69" spans="1:7" ht="29.25">
      <c r="A69" s="90" t="s">
        <v>53</v>
      </c>
      <c r="B69" s="26" t="s">
        <v>40</v>
      </c>
      <c r="C69" s="26" t="s">
        <v>58</v>
      </c>
      <c r="D69" s="26" t="s">
        <v>245</v>
      </c>
      <c r="E69" s="23" t="s">
        <v>54</v>
      </c>
      <c r="F69" s="37">
        <v>0.7</v>
      </c>
      <c r="G69" s="136">
        <v>0.7</v>
      </c>
    </row>
    <row r="70" spans="1:7" ht="43.5">
      <c r="A70" s="90" t="s">
        <v>79</v>
      </c>
      <c r="B70" s="26" t="s">
        <v>40</v>
      </c>
      <c r="C70" s="26" t="s">
        <v>58</v>
      </c>
      <c r="D70" s="26" t="s">
        <v>246</v>
      </c>
      <c r="E70" s="26" t="s">
        <v>38</v>
      </c>
      <c r="F70" s="37">
        <f>F71+F72</f>
        <v>254.6</v>
      </c>
      <c r="G70" s="136">
        <f>G71+G72</f>
        <v>264.7</v>
      </c>
    </row>
    <row r="71" spans="1:7" ht="72">
      <c r="A71" s="90" t="s">
        <v>47</v>
      </c>
      <c r="B71" s="26" t="s">
        <v>40</v>
      </c>
      <c r="C71" s="26" t="s">
        <v>58</v>
      </c>
      <c r="D71" s="26" t="s">
        <v>246</v>
      </c>
      <c r="E71" s="23" t="s">
        <v>48</v>
      </c>
      <c r="F71" s="37">
        <f>Лист3!G54</f>
        <v>253.9</v>
      </c>
      <c r="G71" s="136">
        <f>Лист3!H54</f>
        <v>264</v>
      </c>
    </row>
    <row r="72" spans="1:7" ht="29.25">
      <c r="A72" s="90" t="s">
        <v>53</v>
      </c>
      <c r="B72" s="26" t="s">
        <v>40</v>
      </c>
      <c r="C72" s="26" t="s">
        <v>58</v>
      </c>
      <c r="D72" s="26" t="s">
        <v>246</v>
      </c>
      <c r="E72" s="23" t="s">
        <v>54</v>
      </c>
      <c r="F72" s="37">
        <v>0.7</v>
      </c>
      <c r="G72" s="136">
        <v>0.7</v>
      </c>
    </row>
    <row r="73" spans="1:7" ht="29.25">
      <c r="A73" s="89" t="s">
        <v>213</v>
      </c>
      <c r="B73" s="25" t="s">
        <v>40</v>
      </c>
      <c r="C73" s="29" t="s">
        <v>58</v>
      </c>
      <c r="D73" s="33" t="s">
        <v>244</v>
      </c>
      <c r="E73" s="26" t="s">
        <v>38</v>
      </c>
      <c r="F73" s="37">
        <f>Лист3!G61</f>
        <v>765.9</v>
      </c>
      <c r="G73" s="136">
        <f>Лист3!H61</f>
        <v>834.9</v>
      </c>
    </row>
    <row r="74" spans="1:7" ht="72">
      <c r="A74" s="90" t="s">
        <v>47</v>
      </c>
      <c r="B74" s="25" t="s">
        <v>40</v>
      </c>
      <c r="C74" s="29" t="s">
        <v>58</v>
      </c>
      <c r="D74" s="33" t="s">
        <v>244</v>
      </c>
      <c r="E74" s="23" t="s">
        <v>48</v>
      </c>
      <c r="F74" s="37">
        <f>Лист3!G62</f>
        <v>634.20000000000005</v>
      </c>
      <c r="G74" s="136">
        <f>Лист3!H62</f>
        <v>670</v>
      </c>
    </row>
    <row r="75" spans="1:7" ht="29.25">
      <c r="A75" s="90" t="s">
        <v>53</v>
      </c>
      <c r="B75" s="25" t="s">
        <v>40</v>
      </c>
      <c r="C75" s="29" t="s">
        <v>58</v>
      </c>
      <c r="D75" s="33" t="s">
        <v>244</v>
      </c>
      <c r="E75" s="23" t="s">
        <v>54</v>
      </c>
      <c r="F75" s="37">
        <f>Лист3!G63</f>
        <v>86.4</v>
      </c>
      <c r="G75" s="136">
        <f>Лист3!H63</f>
        <v>119.6</v>
      </c>
    </row>
    <row r="76" spans="1:7">
      <c r="A76" s="87" t="s">
        <v>77</v>
      </c>
      <c r="B76" s="25" t="s">
        <v>40</v>
      </c>
      <c r="C76" s="29" t="s">
        <v>58</v>
      </c>
      <c r="D76" s="33" t="s">
        <v>244</v>
      </c>
      <c r="E76" s="23" t="s">
        <v>83</v>
      </c>
      <c r="F76" s="37">
        <f>Лист3!G64</f>
        <v>45.3</v>
      </c>
      <c r="G76" s="136">
        <f>Лист3!H64</f>
        <v>45.3</v>
      </c>
    </row>
    <row r="77" spans="1:7">
      <c r="A77" s="173" t="s">
        <v>80</v>
      </c>
      <c r="B77" s="26" t="s">
        <v>40</v>
      </c>
      <c r="C77" s="26" t="s">
        <v>58</v>
      </c>
      <c r="D77" s="26" t="s">
        <v>251</v>
      </c>
      <c r="E77" s="26" t="s">
        <v>38</v>
      </c>
      <c r="F77" s="37">
        <f>F78+F79</f>
        <v>42.9</v>
      </c>
      <c r="G77" s="136">
        <f>G78+G79</f>
        <v>44.5</v>
      </c>
    </row>
    <row r="78" spans="1:7" ht="72">
      <c r="A78" s="90" t="s">
        <v>47</v>
      </c>
      <c r="B78" s="26" t="s">
        <v>40</v>
      </c>
      <c r="C78" s="26" t="s">
        <v>58</v>
      </c>
      <c r="D78" s="26" t="s">
        <v>251</v>
      </c>
      <c r="E78" s="23" t="s">
        <v>48</v>
      </c>
      <c r="F78" s="37">
        <v>1</v>
      </c>
      <c r="G78" s="136">
        <v>1</v>
      </c>
    </row>
    <row r="79" spans="1:7" ht="29.25">
      <c r="A79" s="90" t="s">
        <v>53</v>
      </c>
      <c r="B79" s="26" t="s">
        <v>40</v>
      </c>
      <c r="C79" s="26" t="s">
        <v>58</v>
      </c>
      <c r="D79" s="26" t="s">
        <v>251</v>
      </c>
      <c r="E79" s="23" t="s">
        <v>54</v>
      </c>
      <c r="F79" s="37">
        <f>Лист3!G58</f>
        <v>41.9</v>
      </c>
      <c r="G79" s="136">
        <f>Лист3!H58</f>
        <v>43.5</v>
      </c>
    </row>
    <row r="80" spans="1:7" ht="57.75">
      <c r="A80" s="90" t="s">
        <v>207</v>
      </c>
      <c r="B80" s="23" t="s">
        <v>40</v>
      </c>
      <c r="C80" s="23" t="s">
        <v>58</v>
      </c>
      <c r="D80" s="23" t="s">
        <v>252</v>
      </c>
      <c r="E80" s="23" t="s">
        <v>38</v>
      </c>
      <c r="F80" s="37">
        <f>F81</f>
        <v>0.38</v>
      </c>
      <c r="G80" s="136">
        <f>G81</f>
        <v>0.4</v>
      </c>
    </row>
    <row r="81" spans="1:7" ht="29.25">
      <c r="A81" s="90" t="s">
        <v>53</v>
      </c>
      <c r="B81" s="23" t="s">
        <v>40</v>
      </c>
      <c r="C81" s="23" t="s">
        <v>58</v>
      </c>
      <c r="D81" s="23" t="s">
        <v>252</v>
      </c>
      <c r="E81" s="23" t="s">
        <v>54</v>
      </c>
      <c r="F81" s="37">
        <v>0.38</v>
      </c>
      <c r="G81" s="150">
        <v>0.4</v>
      </c>
    </row>
    <row r="82" spans="1:7">
      <c r="A82" s="97" t="s">
        <v>81</v>
      </c>
      <c r="B82" s="70" t="s">
        <v>43</v>
      </c>
      <c r="C82" s="70" t="s">
        <v>36</v>
      </c>
      <c r="D82" s="71" t="s">
        <v>41</v>
      </c>
      <c r="E82" s="71" t="s">
        <v>38</v>
      </c>
      <c r="F82" s="78">
        <f t="shared" ref="F82:G84" si="3">F83</f>
        <v>1339.7</v>
      </c>
      <c r="G82" s="156">
        <f t="shared" si="3"/>
        <v>1279.2</v>
      </c>
    </row>
    <row r="83" spans="1:7">
      <c r="A83" s="173" t="s">
        <v>239</v>
      </c>
      <c r="B83" s="25" t="s">
        <v>43</v>
      </c>
      <c r="C83" s="25" t="s">
        <v>50</v>
      </c>
      <c r="D83" s="26" t="s">
        <v>241</v>
      </c>
      <c r="E83" s="26" t="s">
        <v>38</v>
      </c>
      <c r="F83" s="63">
        <f t="shared" si="3"/>
        <v>1339.7</v>
      </c>
      <c r="G83" s="150">
        <f t="shared" si="3"/>
        <v>1279.2</v>
      </c>
    </row>
    <row r="84" spans="1:7" ht="28.5">
      <c r="A84" s="96" t="s">
        <v>82</v>
      </c>
      <c r="B84" s="25" t="s">
        <v>43</v>
      </c>
      <c r="C84" s="25" t="s">
        <v>50</v>
      </c>
      <c r="D84" s="23" t="s">
        <v>240</v>
      </c>
      <c r="E84" s="26" t="s">
        <v>38</v>
      </c>
      <c r="F84" s="63">
        <f t="shared" si="3"/>
        <v>1339.7</v>
      </c>
      <c r="G84" s="150">
        <f t="shared" si="3"/>
        <v>1279.2</v>
      </c>
    </row>
    <row r="85" spans="1:7">
      <c r="A85" s="87" t="s">
        <v>77</v>
      </c>
      <c r="B85" s="25" t="s">
        <v>43</v>
      </c>
      <c r="C85" s="25" t="s">
        <v>50</v>
      </c>
      <c r="D85" s="23" t="s">
        <v>240</v>
      </c>
      <c r="E85" s="23" t="s">
        <v>83</v>
      </c>
      <c r="F85" s="63">
        <v>1339.7</v>
      </c>
      <c r="G85" s="150">
        <v>1279.2</v>
      </c>
    </row>
    <row r="86" spans="1:7" ht="30">
      <c r="A86" s="157" t="s">
        <v>103</v>
      </c>
      <c r="B86" s="79" t="s">
        <v>50</v>
      </c>
      <c r="C86" s="70" t="s">
        <v>36</v>
      </c>
      <c r="D86" s="79" t="s">
        <v>41</v>
      </c>
      <c r="E86" s="79" t="s">
        <v>38</v>
      </c>
      <c r="F86" s="78">
        <f t="shared" ref="F86:G89" si="4">F87</f>
        <v>1038.5</v>
      </c>
      <c r="G86" s="156">
        <f t="shared" si="4"/>
        <v>1084.5999999999999</v>
      </c>
    </row>
    <row r="87" spans="1:7" ht="43.5">
      <c r="A87" s="89" t="s">
        <v>104</v>
      </c>
      <c r="B87" s="24" t="s">
        <v>50</v>
      </c>
      <c r="C87" s="29" t="s">
        <v>94</v>
      </c>
      <c r="D87" s="24" t="s">
        <v>41</v>
      </c>
      <c r="E87" s="24" t="s">
        <v>38</v>
      </c>
      <c r="F87" s="37">
        <f t="shared" si="4"/>
        <v>1038.5</v>
      </c>
      <c r="G87" s="136">
        <f t="shared" si="4"/>
        <v>1084.5999999999999</v>
      </c>
    </row>
    <row r="88" spans="1:7">
      <c r="A88" s="89" t="s">
        <v>105</v>
      </c>
      <c r="B88" s="24" t="s">
        <v>50</v>
      </c>
      <c r="C88" s="29" t="s">
        <v>94</v>
      </c>
      <c r="D88" s="24" t="s">
        <v>106</v>
      </c>
      <c r="E88" s="24" t="s">
        <v>38</v>
      </c>
      <c r="F88" s="37">
        <f t="shared" si="4"/>
        <v>1038.5</v>
      </c>
      <c r="G88" s="136">
        <f t="shared" si="4"/>
        <v>1084.5999999999999</v>
      </c>
    </row>
    <row r="89" spans="1:7" ht="29.25">
      <c r="A89" s="89" t="s">
        <v>107</v>
      </c>
      <c r="B89" s="24" t="s">
        <v>50</v>
      </c>
      <c r="C89" s="29" t="s">
        <v>94</v>
      </c>
      <c r="D89" s="24" t="s">
        <v>108</v>
      </c>
      <c r="E89" s="24" t="s">
        <v>38</v>
      </c>
      <c r="F89" s="37">
        <f t="shared" si="4"/>
        <v>1038.5</v>
      </c>
      <c r="G89" s="136">
        <f t="shared" si="4"/>
        <v>1084.5999999999999</v>
      </c>
    </row>
    <row r="90" spans="1:7" ht="72">
      <c r="A90" s="90" t="s">
        <v>47</v>
      </c>
      <c r="B90" s="24" t="s">
        <v>50</v>
      </c>
      <c r="C90" s="29" t="s">
        <v>94</v>
      </c>
      <c r="D90" s="24" t="s">
        <v>108</v>
      </c>
      <c r="E90" s="24" t="s">
        <v>48</v>
      </c>
      <c r="F90" s="37">
        <f>Лист3!G112</f>
        <v>1038.5</v>
      </c>
      <c r="G90" s="136">
        <f>Лист3!H112</f>
        <v>1084.5999999999999</v>
      </c>
    </row>
    <row r="91" spans="1:7">
      <c r="A91" s="97" t="s">
        <v>197</v>
      </c>
      <c r="B91" s="70" t="s">
        <v>64</v>
      </c>
      <c r="C91" s="70" t="s">
        <v>36</v>
      </c>
      <c r="D91" s="71" t="s">
        <v>41</v>
      </c>
      <c r="E91" s="71" t="s">
        <v>38</v>
      </c>
      <c r="F91" s="78">
        <f>F92+F96</f>
        <v>11592</v>
      </c>
      <c r="G91" s="156">
        <f>G92+G96</f>
        <v>11592</v>
      </c>
    </row>
    <row r="92" spans="1:7">
      <c r="A92" s="96" t="s">
        <v>198</v>
      </c>
      <c r="B92" s="25" t="s">
        <v>64</v>
      </c>
      <c r="C92" s="25" t="s">
        <v>199</v>
      </c>
      <c r="D92" s="26" t="s">
        <v>41</v>
      </c>
      <c r="E92" s="26" t="s">
        <v>38</v>
      </c>
      <c r="F92" s="37">
        <f t="shared" ref="F92:G94" si="5">F93</f>
        <v>692</v>
      </c>
      <c r="G92" s="150">
        <f t="shared" si="5"/>
        <v>692</v>
      </c>
    </row>
    <row r="93" spans="1:7">
      <c r="A93" s="173" t="s">
        <v>239</v>
      </c>
      <c r="B93" s="25" t="s">
        <v>64</v>
      </c>
      <c r="C93" s="25" t="s">
        <v>199</v>
      </c>
      <c r="D93" s="26" t="s">
        <v>241</v>
      </c>
      <c r="E93" s="26" t="s">
        <v>38</v>
      </c>
      <c r="F93" s="37">
        <f t="shared" si="5"/>
        <v>692</v>
      </c>
      <c r="G93" s="150">
        <f t="shared" si="5"/>
        <v>692</v>
      </c>
    </row>
    <row r="94" spans="1:7" ht="57">
      <c r="A94" s="96" t="s">
        <v>200</v>
      </c>
      <c r="B94" s="25" t="s">
        <v>64</v>
      </c>
      <c r="C94" s="25" t="s">
        <v>199</v>
      </c>
      <c r="D94" s="26" t="s">
        <v>253</v>
      </c>
      <c r="E94" s="26" t="s">
        <v>38</v>
      </c>
      <c r="F94" s="37">
        <f t="shared" si="5"/>
        <v>692</v>
      </c>
      <c r="G94" s="150">
        <f t="shared" si="5"/>
        <v>692</v>
      </c>
    </row>
    <row r="95" spans="1:7" ht="28.5">
      <c r="A95" s="87" t="s">
        <v>53</v>
      </c>
      <c r="B95" s="25" t="s">
        <v>163</v>
      </c>
      <c r="C95" s="25" t="s">
        <v>201</v>
      </c>
      <c r="D95" s="26" t="s">
        <v>253</v>
      </c>
      <c r="E95" s="23" t="s">
        <v>54</v>
      </c>
      <c r="F95" s="37">
        <f>108.2+583.8</f>
        <v>692</v>
      </c>
      <c r="G95" s="150">
        <f>108.2+583.8</f>
        <v>692</v>
      </c>
    </row>
    <row r="96" spans="1:7">
      <c r="A96" s="129" t="s">
        <v>202</v>
      </c>
      <c r="B96" s="131" t="s">
        <v>64</v>
      </c>
      <c r="C96" s="131" t="s">
        <v>94</v>
      </c>
      <c r="D96" s="132" t="s">
        <v>41</v>
      </c>
      <c r="E96" s="132" t="s">
        <v>38</v>
      </c>
      <c r="F96" s="133">
        <f t="shared" ref="F96:G98" si="6">F97</f>
        <v>10900</v>
      </c>
      <c r="G96" s="158">
        <f t="shared" si="6"/>
        <v>10900</v>
      </c>
    </row>
    <row r="97" spans="1:7">
      <c r="A97" s="87" t="s">
        <v>203</v>
      </c>
      <c r="B97" s="29" t="s">
        <v>64</v>
      </c>
      <c r="C97" s="29" t="s">
        <v>94</v>
      </c>
      <c r="D97" s="23" t="s">
        <v>204</v>
      </c>
      <c r="E97" s="23" t="s">
        <v>38</v>
      </c>
      <c r="F97" s="37">
        <f t="shared" si="6"/>
        <v>10900</v>
      </c>
      <c r="G97" s="136">
        <f t="shared" si="6"/>
        <v>10900</v>
      </c>
    </row>
    <row r="98" spans="1:7">
      <c r="A98" s="87" t="s">
        <v>205</v>
      </c>
      <c r="B98" s="29" t="s">
        <v>64</v>
      </c>
      <c r="C98" s="29" t="s">
        <v>94</v>
      </c>
      <c r="D98" s="23" t="s">
        <v>206</v>
      </c>
      <c r="E98" s="23" t="s">
        <v>38</v>
      </c>
      <c r="F98" s="37">
        <f t="shared" si="6"/>
        <v>10900</v>
      </c>
      <c r="G98" s="136">
        <f t="shared" si="6"/>
        <v>10900</v>
      </c>
    </row>
    <row r="99" spans="1:7" ht="29.25">
      <c r="A99" s="90" t="s">
        <v>53</v>
      </c>
      <c r="B99" s="29" t="s">
        <v>64</v>
      </c>
      <c r="C99" s="29" t="s">
        <v>94</v>
      </c>
      <c r="D99" s="23" t="s">
        <v>206</v>
      </c>
      <c r="E99" s="23" t="s">
        <v>54</v>
      </c>
      <c r="F99" s="37">
        <f>Лист3!G77</f>
        <v>10900</v>
      </c>
      <c r="G99" s="136">
        <f>Лист3!H77</f>
        <v>10900</v>
      </c>
    </row>
    <row r="100" spans="1:7">
      <c r="A100" s="159" t="s">
        <v>84</v>
      </c>
      <c r="B100" s="70" t="s">
        <v>85</v>
      </c>
      <c r="C100" s="70" t="s">
        <v>36</v>
      </c>
      <c r="D100" s="79" t="s">
        <v>41</v>
      </c>
      <c r="E100" s="71" t="s">
        <v>38</v>
      </c>
      <c r="F100" s="78">
        <f t="shared" ref="F100:G104" si="7">F101</f>
        <v>4188</v>
      </c>
      <c r="G100" s="156">
        <f t="shared" si="7"/>
        <v>4188</v>
      </c>
    </row>
    <row r="101" spans="1:7" ht="30">
      <c r="A101" s="91" t="s">
        <v>86</v>
      </c>
      <c r="B101" s="30" t="s">
        <v>85</v>
      </c>
      <c r="C101" s="30" t="s">
        <v>50</v>
      </c>
      <c r="D101" s="31" t="s">
        <v>41</v>
      </c>
      <c r="E101" s="32" t="s">
        <v>38</v>
      </c>
      <c r="F101" s="59">
        <f t="shared" si="7"/>
        <v>4188</v>
      </c>
      <c r="G101" s="135">
        <f t="shared" si="7"/>
        <v>4188</v>
      </c>
    </row>
    <row r="102" spans="1:7" ht="43.5">
      <c r="A102" s="99" t="s">
        <v>87</v>
      </c>
      <c r="B102" s="29" t="s">
        <v>85</v>
      </c>
      <c r="C102" s="29" t="s">
        <v>50</v>
      </c>
      <c r="D102" s="24" t="s">
        <v>88</v>
      </c>
      <c r="E102" s="23" t="s">
        <v>38</v>
      </c>
      <c r="F102" s="37">
        <f t="shared" si="7"/>
        <v>4188</v>
      </c>
      <c r="G102" s="136">
        <f t="shared" si="7"/>
        <v>4188</v>
      </c>
    </row>
    <row r="103" spans="1:7">
      <c r="A103" s="99" t="s">
        <v>89</v>
      </c>
      <c r="B103" s="29" t="s">
        <v>85</v>
      </c>
      <c r="C103" s="29" t="s">
        <v>50</v>
      </c>
      <c r="D103" s="24" t="s">
        <v>90</v>
      </c>
      <c r="E103" s="23" t="s">
        <v>38</v>
      </c>
      <c r="F103" s="37">
        <f t="shared" si="7"/>
        <v>4188</v>
      </c>
      <c r="G103" s="136">
        <f t="shared" si="7"/>
        <v>4188</v>
      </c>
    </row>
    <row r="104" spans="1:7" ht="29.25">
      <c r="A104" s="99" t="s">
        <v>91</v>
      </c>
      <c r="B104" s="29" t="s">
        <v>85</v>
      </c>
      <c r="C104" s="29" t="s">
        <v>50</v>
      </c>
      <c r="D104" s="24" t="s">
        <v>92</v>
      </c>
      <c r="E104" s="23" t="s">
        <v>38</v>
      </c>
      <c r="F104" s="37">
        <f t="shared" si="7"/>
        <v>4188</v>
      </c>
      <c r="G104" s="136">
        <f t="shared" si="7"/>
        <v>4188</v>
      </c>
    </row>
    <row r="105" spans="1:7" ht="29.25">
      <c r="A105" s="90" t="s">
        <v>53</v>
      </c>
      <c r="B105" s="29" t="s">
        <v>85</v>
      </c>
      <c r="C105" s="29" t="s">
        <v>50</v>
      </c>
      <c r="D105" s="24" t="s">
        <v>92</v>
      </c>
      <c r="E105" s="23" t="s">
        <v>54</v>
      </c>
      <c r="F105" s="37">
        <f>Лист3!G83</f>
        <v>4188</v>
      </c>
      <c r="G105" s="136">
        <f>Лист3!H83</f>
        <v>4188</v>
      </c>
    </row>
    <row r="106" spans="1:7">
      <c r="A106" s="97" t="s">
        <v>112</v>
      </c>
      <c r="B106" s="70" t="s">
        <v>96</v>
      </c>
      <c r="C106" s="70" t="s">
        <v>36</v>
      </c>
      <c r="D106" s="71" t="s">
        <v>41</v>
      </c>
      <c r="E106" s="71" t="s">
        <v>38</v>
      </c>
      <c r="F106" s="78">
        <f>F107+F115+F132+F136</f>
        <v>373343.52</v>
      </c>
      <c r="G106" s="156">
        <f>G107+G115+G132+G136</f>
        <v>378014.80999999994</v>
      </c>
    </row>
    <row r="107" spans="1:7">
      <c r="A107" s="103" t="s">
        <v>113</v>
      </c>
      <c r="B107" s="36" t="s">
        <v>96</v>
      </c>
      <c r="C107" s="36" t="s">
        <v>40</v>
      </c>
      <c r="D107" s="36" t="s">
        <v>37</v>
      </c>
      <c r="E107" s="36" t="s">
        <v>38</v>
      </c>
      <c r="F107" s="59">
        <f>F108+F111</f>
        <v>59611</v>
      </c>
      <c r="G107" s="135">
        <f>G108</f>
        <v>59701.8</v>
      </c>
    </row>
    <row r="108" spans="1:7">
      <c r="A108" s="103" t="s">
        <v>114</v>
      </c>
      <c r="B108" s="36" t="s">
        <v>96</v>
      </c>
      <c r="C108" s="36" t="s">
        <v>40</v>
      </c>
      <c r="D108" s="36" t="s">
        <v>115</v>
      </c>
      <c r="E108" s="36" t="s">
        <v>38</v>
      </c>
      <c r="F108" s="59">
        <f>F109</f>
        <v>38604.199999999997</v>
      </c>
      <c r="G108" s="135">
        <f>G109+G111</f>
        <v>59701.8</v>
      </c>
    </row>
    <row r="109" spans="1:7">
      <c r="A109" s="104" t="s">
        <v>116</v>
      </c>
      <c r="B109" s="23" t="s">
        <v>96</v>
      </c>
      <c r="C109" s="23" t="s">
        <v>40</v>
      </c>
      <c r="D109" s="23" t="s">
        <v>117</v>
      </c>
      <c r="E109" s="23" t="s">
        <v>38</v>
      </c>
      <c r="F109" s="42">
        <f>F110</f>
        <v>38604.199999999997</v>
      </c>
      <c r="G109" s="106">
        <f>G110</f>
        <v>38695</v>
      </c>
    </row>
    <row r="110" spans="1:7">
      <c r="A110" s="90" t="s">
        <v>118</v>
      </c>
      <c r="B110" s="23" t="s">
        <v>96</v>
      </c>
      <c r="C110" s="23" t="s">
        <v>40</v>
      </c>
      <c r="D110" s="23" t="s">
        <v>117</v>
      </c>
      <c r="E110" s="23" t="s">
        <v>119</v>
      </c>
      <c r="F110" s="42">
        <f>Лист3!G127</f>
        <v>38604.199999999997</v>
      </c>
      <c r="G110" s="106">
        <f>Лист3!H127</f>
        <v>38695</v>
      </c>
    </row>
    <row r="111" spans="1:7">
      <c r="A111" s="173" t="s">
        <v>254</v>
      </c>
      <c r="B111" s="23" t="s">
        <v>96</v>
      </c>
      <c r="C111" s="26" t="s">
        <v>40</v>
      </c>
      <c r="D111" s="23" t="s">
        <v>255</v>
      </c>
      <c r="E111" s="26" t="s">
        <v>38</v>
      </c>
      <c r="F111" s="63">
        <f t="shared" ref="F111:G113" si="8">F112</f>
        <v>21006.799999999999</v>
      </c>
      <c r="G111" s="150">
        <f t="shared" si="8"/>
        <v>21006.799999999999</v>
      </c>
    </row>
    <row r="112" spans="1:7" ht="43.5">
      <c r="A112" s="174" t="s">
        <v>257</v>
      </c>
      <c r="B112" s="26" t="s">
        <v>96</v>
      </c>
      <c r="C112" s="26" t="s">
        <v>40</v>
      </c>
      <c r="D112" s="23" t="s">
        <v>258</v>
      </c>
      <c r="E112" s="26" t="s">
        <v>38</v>
      </c>
      <c r="F112" s="63">
        <f t="shared" si="8"/>
        <v>21006.799999999999</v>
      </c>
      <c r="G112" s="150">
        <f t="shared" si="8"/>
        <v>21006.799999999999</v>
      </c>
    </row>
    <row r="113" spans="1:7" ht="72">
      <c r="A113" s="172" t="s">
        <v>121</v>
      </c>
      <c r="B113" s="26" t="s">
        <v>96</v>
      </c>
      <c r="C113" s="26" t="s">
        <v>40</v>
      </c>
      <c r="D113" s="23" t="s">
        <v>256</v>
      </c>
      <c r="E113" s="23" t="s">
        <v>38</v>
      </c>
      <c r="F113" s="63">
        <f t="shared" si="8"/>
        <v>21006.799999999999</v>
      </c>
      <c r="G113" s="150">
        <f t="shared" si="8"/>
        <v>21006.799999999999</v>
      </c>
    </row>
    <row r="114" spans="1:7">
      <c r="A114" s="90" t="s">
        <v>118</v>
      </c>
      <c r="B114" s="26" t="s">
        <v>96</v>
      </c>
      <c r="C114" s="26" t="s">
        <v>40</v>
      </c>
      <c r="D114" s="23" t="s">
        <v>256</v>
      </c>
      <c r="E114" s="23" t="s">
        <v>119</v>
      </c>
      <c r="F114" s="63">
        <v>21006.799999999999</v>
      </c>
      <c r="G114" s="150">
        <v>21006.799999999999</v>
      </c>
    </row>
    <row r="115" spans="1:7">
      <c r="A115" s="93" t="s">
        <v>122</v>
      </c>
      <c r="B115" s="36" t="s">
        <v>96</v>
      </c>
      <c r="C115" s="36" t="s">
        <v>43</v>
      </c>
      <c r="D115" s="36" t="s">
        <v>41</v>
      </c>
      <c r="E115" s="36" t="s">
        <v>38</v>
      </c>
      <c r="F115" s="59">
        <f>F116+F119+F128</f>
        <v>295900.65000000002</v>
      </c>
      <c r="G115" s="135">
        <f>G116+G119+G128</f>
        <v>300214.30999999994</v>
      </c>
    </row>
    <row r="116" spans="1:7" ht="30">
      <c r="A116" s="93" t="s">
        <v>123</v>
      </c>
      <c r="B116" s="36" t="s">
        <v>96</v>
      </c>
      <c r="C116" s="36" t="s">
        <v>43</v>
      </c>
      <c r="D116" s="36" t="s">
        <v>124</v>
      </c>
      <c r="E116" s="36" t="s">
        <v>38</v>
      </c>
      <c r="F116" s="59">
        <f>F117</f>
        <v>152487.53000000003</v>
      </c>
      <c r="G116" s="135">
        <f>G117</f>
        <v>156302.71</v>
      </c>
    </row>
    <row r="117" spans="1:7" ht="28.5">
      <c r="A117" s="96" t="s">
        <v>75</v>
      </c>
      <c r="B117" s="26" t="s">
        <v>96</v>
      </c>
      <c r="C117" s="26" t="s">
        <v>43</v>
      </c>
      <c r="D117" s="26" t="s">
        <v>125</v>
      </c>
      <c r="E117" s="26" t="s">
        <v>38</v>
      </c>
      <c r="F117" s="37">
        <f>F118</f>
        <v>152487.53000000003</v>
      </c>
      <c r="G117" s="136">
        <f>G118</f>
        <v>156302.71</v>
      </c>
    </row>
    <row r="118" spans="1:7">
      <c r="A118" s="90" t="s">
        <v>118</v>
      </c>
      <c r="B118" s="26" t="s">
        <v>96</v>
      </c>
      <c r="C118" s="26" t="s">
        <v>43</v>
      </c>
      <c r="D118" s="26" t="s">
        <v>125</v>
      </c>
      <c r="E118" s="23" t="s">
        <v>119</v>
      </c>
      <c r="F118" s="37">
        <f>Лист3!G135</f>
        <v>152487.53000000003</v>
      </c>
      <c r="G118" s="136">
        <f>Лист3!H135</f>
        <v>156302.71</v>
      </c>
    </row>
    <row r="119" spans="1:7">
      <c r="A119" s="93" t="s">
        <v>126</v>
      </c>
      <c r="B119" s="36" t="s">
        <v>96</v>
      </c>
      <c r="C119" s="36" t="s">
        <v>43</v>
      </c>
      <c r="D119" s="36" t="s">
        <v>127</v>
      </c>
      <c r="E119" s="36" t="s">
        <v>38</v>
      </c>
      <c r="F119" s="110">
        <f t="shared" ref="F119:G121" si="9">F120</f>
        <v>20461.72</v>
      </c>
      <c r="G119" s="151">
        <f>G120+G124+G127</f>
        <v>20960.199999999997</v>
      </c>
    </row>
    <row r="120" spans="1:7">
      <c r="A120" s="96" t="s">
        <v>126</v>
      </c>
      <c r="B120" s="26" t="s">
        <v>96</v>
      </c>
      <c r="C120" s="26" t="s">
        <v>43</v>
      </c>
      <c r="D120" s="26" t="s">
        <v>127</v>
      </c>
      <c r="E120" s="26" t="s">
        <v>38</v>
      </c>
      <c r="F120" s="63">
        <f t="shared" si="9"/>
        <v>20461.72</v>
      </c>
      <c r="G120" s="150">
        <f t="shared" si="9"/>
        <v>4160</v>
      </c>
    </row>
    <row r="121" spans="1:7" ht="28.5">
      <c r="A121" s="96" t="s">
        <v>75</v>
      </c>
      <c r="B121" s="26" t="s">
        <v>96</v>
      </c>
      <c r="C121" s="26" t="s">
        <v>43</v>
      </c>
      <c r="D121" s="23" t="s">
        <v>128</v>
      </c>
      <c r="E121" s="23" t="s">
        <v>38</v>
      </c>
      <c r="F121" s="63">
        <f>F122+F124+F126</f>
        <v>20461.72</v>
      </c>
      <c r="G121" s="150">
        <f t="shared" si="9"/>
        <v>4160</v>
      </c>
    </row>
    <row r="122" spans="1:7" ht="114.75">
      <c r="A122" s="139" t="s">
        <v>226</v>
      </c>
      <c r="B122" s="26" t="s">
        <v>96</v>
      </c>
      <c r="C122" s="26" t="s">
        <v>43</v>
      </c>
      <c r="D122" s="23" t="s">
        <v>225</v>
      </c>
      <c r="E122" s="23" t="s">
        <v>38</v>
      </c>
      <c r="F122" s="63">
        <f>F123</f>
        <v>4000</v>
      </c>
      <c r="G122" s="150">
        <f>G123</f>
        <v>4160</v>
      </c>
    </row>
    <row r="123" spans="1:7">
      <c r="A123" s="90" t="s">
        <v>118</v>
      </c>
      <c r="B123" s="26" t="s">
        <v>96</v>
      </c>
      <c r="C123" s="26" t="s">
        <v>43</v>
      </c>
      <c r="D123" s="23" t="s">
        <v>225</v>
      </c>
      <c r="E123" s="23" t="s">
        <v>119</v>
      </c>
      <c r="F123" s="63">
        <v>4000</v>
      </c>
      <c r="G123" s="150">
        <f>Лист3!H140</f>
        <v>4160</v>
      </c>
    </row>
    <row r="124" spans="1:7" ht="43.5">
      <c r="A124" s="90" t="s">
        <v>228</v>
      </c>
      <c r="B124" s="26" t="s">
        <v>96</v>
      </c>
      <c r="C124" s="26" t="s">
        <v>43</v>
      </c>
      <c r="D124" s="23" t="s">
        <v>227</v>
      </c>
      <c r="E124" s="23" t="s">
        <v>38</v>
      </c>
      <c r="F124" s="63">
        <f t="shared" ref="F124:G124" si="10">F125</f>
        <v>11708.47</v>
      </c>
      <c r="G124" s="150">
        <f t="shared" si="10"/>
        <v>11926.8</v>
      </c>
    </row>
    <row r="125" spans="1:7">
      <c r="A125" s="90" t="s">
        <v>118</v>
      </c>
      <c r="B125" s="26" t="s">
        <v>96</v>
      </c>
      <c r="C125" s="26" t="s">
        <v>43</v>
      </c>
      <c r="D125" s="23" t="s">
        <v>227</v>
      </c>
      <c r="E125" s="23" t="s">
        <v>119</v>
      </c>
      <c r="F125" s="63">
        <f>11143.4+565.07</f>
        <v>11708.47</v>
      </c>
      <c r="G125" s="150">
        <f>Лист3!H181</f>
        <v>11926.8</v>
      </c>
    </row>
    <row r="126" spans="1:7" ht="72">
      <c r="A126" s="90" t="s">
        <v>233</v>
      </c>
      <c r="B126" s="26" t="s">
        <v>96</v>
      </c>
      <c r="C126" s="26" t="s">
        <v>43</v>
      </c>
      <c r="D126" s="23" t="s">
        <v>232</v>
      </c>
      <c r="E126" s="23" t="s">
        <v>38</v>
      </c>
      <c r="F126" s="63">
        <f>F127</f>
        <v>4753.25</v>
      </c>
      <c r="G126" s="150">
        <f>G127</f>
        <v>4873.3999999999996</v>
      </c>
    </row>
    <row r="127" spans="1:7">
      <c r="A127" s="90" t="s">
        <v>118</v>
      </c>
      <c r="B127" s="26" t="s">
        <v>96</v>
      </c>
      <c r="C127" s="26" t="s">
        <v>43</v>
      </c>
      <c r="D127" s="23" t="s">
        <v>232</v>
      </c>
      <c r="E127" s="23" t="s">
        <v>119</v>
      </c>
      <c r="F127" s="63">
        <f>4750.3+2.95</f>
        <v>4753.25</v>
      </c>
      <c r="G127" s="150">
        <f>Лист3!H221</f>
        <v>4873.3999999999996</v>
      </c>
    </row>
    <row r="128" spans="1:7" ht="45">
      <c r="A128" s="190" t="s">
        <v>254</v>
      </c>
      <c r="B128" s="34" t="s">
        <v>96</v>
      </c>
      <c r="C128" s="36" t="s">
        <v>43</v>
      </c>
      <c r="D128" s="36" t="s">
        <v>255</v>
      </c>
      <c r="E128" s="36" t="s">
        <v>38</v>
      </c>
      <c r="F128" s="110">
        <f>F129</f>
        <v>122951.4</v>
      </c>
      <c r="G128" s="151">
        <f>G129</f>
        <v>122951.4</v>
      </c>
    </row>
    <row r="129" spans="1:7" ht="43.5">
      <c r="A129" s="172" t="s">
        <v>262</v>
      </c>
      <c r="B129" s="27" t="s">
        <v>96</v>
      </c>
      <c r="C129" s="26" t="s">
        <v>43</v>
      </c>
      <c r="D129" s="26" t="s">
        <v>259</v>
      </c>
      <c r="E129" s="26" t="s">
        <v>38</v>
      </c>
      <c r="F129" s="63">
        <f>F131</f>
        <v>122951.4</v>
      </c>
      <c r="G129" s="150">
        <f>G131</f>
        <v>122951.4</v>
      </c>
    </row>
    <row r="130" spans="1:7" ht="100.5">
      <c r="A130" s="174" t="s">
        <v>261</v>
      </c>
      <c r="B130" s="27" t="s">
        <v>96</v>
      </c>
      <c r="C130" s="26" t="s">
        <v>43</v>
      </c>
      <c r="D130" s="26" t="s">
        <v>260</v>
      </c>
      <c r="E130" s="26" t="s">
        <v>38</v>
      </c>
      <c r="F130" s="63">
        <f>F131</f>
        <v>122951.4</v>
      </c>
      <c r="G130" s="150">
        <f>G131</f>
        <v>122951.4</v>
      </c>
    </row>
    <row r="131" spans="1:7">
      <c r="A131" s="90" t="s">
        <v>118</v>
      </c>
      <c r="B131" s="27" t="s">
        <v>96</v>
      </c>
      <c r="C131" s="26" t="s">
        <v>43</v>
      </c>
      <c r="D131" s="26" t="s">
        <v>260</v>
      </c>
      <c r="E131" s="23" t="s">
        <v>119</v>
      </c>
      <c r="F131" s="63">
        <v>122951.4</v>
      </c>
      <c r="G131" s="150">
        <v>122951.4</v>
      </c>
    </row>
    <row r="132" spans="1:7">
      <c r="A132" s="93" t="s">
        <v>129</v>
      </c>
      <c r="B132" s="36" t="s">
        <v>96</v>
      </c>
      <c r="C132" s="36" t="s">
        <v>96</v>
      </c>
      <c r="D132" s="36" t="s">
        <v>41</v>
      </c>
      <c r="E132" s="36" t="s">
        <v>38</v>
      </c>
      <c r="F132" s="59">
        <f t="shared" ref="F132:G134" si="11">F133</f>
        <v>6215.5</v>
      </c>
      <c r="G132" s="135">
        <f t="shared" si="11"/>
        <v>6306.8</v>
      </c>
    </row>
    <row r="133" spans="1:7" ht="28.5">
      <c r="A133" s="96" t="s">
        <v>130</v>
      </c>
      <c r="B133" s="26" t="s">
        <v>96</v>
      </c>
      <c r="C133" s="26" t="s">
        <v>96</v>
      </c>
      <c r="D133" s="26" t="s">
        <v>131</v>
      </c>
      <c r="E133" s="26" t="s">
        <v>38</v>
      </c>
      <c r="F133" s="37">
        <f t="shared" si="11"/>
        <v>6215.5</v>
      </c>
      <c r="G133" s="136">
        <f t="shared" si="11"/>
        <v>6306.8</v>
      </c>
    </row>
    <row r="134" spans="1:7" ht="28.5">
      <c r="A134" s="96" t="s">
        <v>75</v>
      </c>
      <c r="B134" s="26" t="s">
        <v>96</v>
      </c>
      <c r="C134" s="26" t="s">
        <v>96</v>
      </c>
      <c r="D134" s="26" t="s">
        <v>132</v>
      </c>
      <c r="E134" s="26" t="s">
        <v>38</v>
      </c>
      <c r="F134" s="37">
        <f t="shared" si="11"/>
        <v>6215.5</v>
      </c>
      <c r="G134" s="136">
        <f t="shared" si="11"/>
        <v>6306.8</v>
      </c>
    </row>
    <row r="135" spans="1:7">
      <c r="A135" s="90" t="s">
        <v>118</v>
      </c>
      <c r="B135" s="26" t="s">
        <v>96</v>
      </c>
      <c r="C135" s="26" t="s">
        <v>96</v>
      </c>
      <c r="D135" s="26" t="s">
        <v>132</v>
      </c>
      <c r="E135" s="23" t="s">
        <v>119</v>
      </c>
      <c r="F135" s="37">
        <f>Лист3!G225</f>
        <v>6215.5</v>
      </c>
      <c r="G135" s="136">
        <f>Лист3!H225</f>
        <v>6306.8</v>
      </c>
    </row>
    <row r="136" spans="1:7">
      <c r="A136" s="93" t="s">
        <v>133</v>
      </c>
      <c r="B136" s="36" t="s">
        <v>96</v>
      </c>
      <c r="C136" s="36" t="s">
        <v>94</v>
      </c>
      <c r="D136" s="36" t="s">
        <v>41</v>
      </c>
      <c r="E136" s="36" t="s">
        <v>38</v>
      </c>
      <c r="F136" s="59">
        <f>F137+F142+F145+F149</f>
        <v>11616.369999999999</v>
      </c>
      <c r="G136" s="135">
        <f>G137+G142+G145+G149</f>
        <v>11791.900000000001</v>
      </c>
    </row>
    <row r="137" spans="1:7" ht="30">
      <c r="A137" s="91" t="s">
        <v>134</v>
      </c>
      <c r="B137" s="36" t="s">
        <v>96</v>
      </c>
      <c r="C137" s="36" t="s">
        <v>94</v>
      </c>
      <c r="D137" s="36" t="s">
        <v>135</v>
      </c>
      <c r="E137" s="36" t="s">
        <v>38</v>
      </c>
      <c r="F137" s="59">
        <f>F138</f>
        <v>1180.47</v>
      </c>
      <c r="G137" s="135">
        <f>G138</f>
        <v>1227.7</v>
      </c>
    </row>
    <row r="138" spans="1:7" ht="28.5">
      <c r="A138" s="96" t="s">
        <v>75</v>
      </c>
      <c r="B138" s="26" t="s">
        <v>96</v>
      </c>
      <c r="C138" s="26" t="s">
        <v>94</v>
      </c>
      <c r="D138" s="26" t="s">
        <v>136</v>
      </c>
      <c r="E138" s="26" t="s">
        <v>38</v>
      </c>
      <c r="F138" s="37">
        <f>F139+F140+F141</f>
        <v>1180.47</v>
      </c>
      <c r="G138" s="136">
        <f>G139+G140+G141</f>
        <v>1227.7</v>
      </c>
    </row>
    <row r="139" spans="1:7" ht="72">
      <c r="A139" s="90" t="s">
        <v>47</v>
      </c>
      <c r="B139" s="26" t="s">
        <v>96</v>
      </c>
      <c r="C139" s="26" t="s">
        <v>94</v>
      </c>
      <c r="D139" s="26" t="s">
        <v>136</v>
      </c>
      <c r="E139" s="23" t="s">
        <v>48</v>
      </c>
      <c r="F139" s="37">
        <f>Лист3!G148</f>
        <v>510</v>
      </c>
      <c r="G139" s="136">
        <f>Лист3!H148</f>
        <v>530.29999999999995</v>
      </c>
    </row>
    <row r="140" spans="1:7" ht="29.25">
      <c r="A140" s="90" t="s">
        <v>53</v>
      </c>
      <c r="B140" s="26" t="s">
        <v>96</v>
      </c>
      <c r="C140" s="26" t="s">
        <v>94</v>
      </c>
      <c r="D140" s="26" t="s">
        <v>136</v>
      </c>
      <c r="E140" s="23" t="s">
        <v>54</v>
      </c>
      <c r="F140" s="37">
        <f>Лист3!G149</f>
        <v>660.47</v>
      </c>
      <c r="G140" s="136">
        <f>Лист3!H149</f>
        <v>687</v>
      </c>
    </row>
    <row r="141" spans="1:7">
      <c r="A141" s="90" t="s">
        <v>55</v>
      </c>
      <c r="B141" s="26" t="s">
        <v>96</v>
      </c>
      <c r="C141" s="26" t="s">
        <v>94</v>
      </c>
      <c r="D141" s="26" t="s">
        <v>136</v>
      </c>
      <c r="E141" s="23" t="s">
        <v>56</v>
      </c>
      <c r="F141" s="37">
        <f>Лист3!G150</f>
        <v>10</v>
      </c>
      <c r="G141" s="136">
        <f>Лист3!H150</f>
        <v>10.4</v>
      </c>
    </row>
    <row r="142" spans="1:7">
      <c r="A142" s="93" t="s">
        <v>137</v>
      </c>
      <c r="B142" s="36" t="s">
        <v>96</v>
      </c>
      <c r="C142" s="36" t="s">
        <v>94</v>
      </c>
      <c r="D142" s="36" t="s">
        <v>138</v>
      </c>
      <c r="E142" s="36" t="s">
        <v>38</v>
      </c>
      <c r="F142" s="59">
        <f>F143</f>
        <v>1677.6</v>
      </c>
      <c r="G142" s="135">
        <f>G143</f>
        <v>1444.7</v>
      </c>
    </row>
    <row r="143" spans="1:7">
      <c r="A143" s="96" t="s">
        <v>139</v>
      </c>
      <c r="B143" s="26" t="s">
        <v>96</v>
      </c>
      <c r="C143" s="26" t="s">
        <v>94</v>
      </c>
      <c r="D143" s="26" t="s">
        <v>140</v>
      </c>
      <c r="E143" s="26" t="s">
        <v>38</v>
      </c>
      <c r="F143" s="37">
        <f>F144</f>
        <v>1677.6</v>
      </c>
      <c r="G143" s="136">
        <f>G144</f>
        <v>1444.7</v>
      </c>
    </row>
    <row r="144" spans="1:7" ht="29.25">
      <c r="A144" s="90" t="s">
        <v>53</v>
      </c>
      <c r="B144" s="26" t="s">
        <v>96</v>
      </c>
      <c r="C144" s="26" t="s">
        <v>94</v>
      </c>
      <c r="D144" s="26" t="s">
        <v>140</v>
      </c>
      <c r="E144" s="23" t="s">
        <v>54</v>
      </c>
      <c r="F144" s="37">
        <f>Лист3!G153</f>
        <v>1677.6</v>
      </c>
      <c r="G144" s="136">
        <f>Лист3!H153</f>
        <v>1444.7</v>
      </c>
    </row>
    <row r="145" spans="1:7" ht="90">
      <c r="A145" s="91" t="s">
        <v>141</v>
      </c>
      <c r="B145" s="36" t="s">
        <v>96</v>
      </c>
      <c r="C145" s="36" t="s">
        <v>94</v>
      </c>
      <c r="D145" s="36" t="s">
        <v>142</v>
      </c>
      <c r="E145" s="36" t="s">
        <v>38</v>
      </c>
      <c r="F145" s="59">
        <f>F146</f>
        <v>4562.7</v>
      </c>
      <c r="G145" s="135">
        <f>G146</f>
        <v>4744.8</v>
      </c>
    </row>
    <row r="146" spans="1:7" ht="29.25">
      <c r="A146" s="89" t="s">
        <v>75</v>
      </c>
      <c r="B146" s="26" t="s">
        <v>96</v>
      </c>
      <c r="C146" s="26" t="s">
        <v>94</v>
      </c>
      <c r="D146" s="26" t="s">
        <v>143</v>
      </c>
      <c r="E146" s="26" t="s">
        <v>38</v>
      </c>
      <c r="F146" s="37">
        <f>Лист3!G155</f>
        <v>4562.7</v>
      </c>
      <c r="G146" s="136">
        <f>Лист3!H155</f>
        <v>4744.8</v>
      </c>
    </row>
    <row r="147" spans="1:7" ht="72">
      <c r="A147" s="90" t="s">
        <v>47</v>
      </c>
      <c r="B147" s="26" t="s">
        <v>96</v>
      </c>
      <c r="C147" s="26" t="s">
        <v>94</v>
      </c>
      <c r="D147" s="26" t="s">
        <v>143</v>
      </c>
      <c r="E147" s="23" t="s">
        <v>48</v>
      </c>
      <c r="F147" s="37">
        <f>Лист3!G156</f>
        <v>3927.7</v>
      </c>
      <c r="G147" s="136">
        <f>Лист3!H156</f>
        <v>4084.8</v>
      </c>
    </row>
    <row r="148" spans="1:7" ht="29.25">
      <c r="A148" s="90" t="s">
        <v>53</v>
      </c>
      <c r="B148" s="26" t="s">
        <v>96</v>
      </c>
      <c r="C148" s="26" t="s">
        <v>94</v>
      </c>
      <c r="D148" s="26" t="s">
        <v>143</v>
      </c>
      <c r="E148" s="23" t="s">
        <v>54</v>
      </c>
      <c r="F148" s="37">
        <f>Лист3!G157</f>
        <v>635</v>
      </c>
      <c r="G148" s="136">
        <f>Лист3!H157</f>
        <v>660</v>
      </c>
    </row>
    <row r="149" spans="1:7" ht="60">
      <c r="A149" s="206" t="s">
        <v>262</v>
      </c>
      <c r="B149" s="36" t="s">
        <v>96</v>
      </c>
      <c r="C149" s="36" t="s">
        <v>94</v>
      </c>
      <c r="D149" s="36" t="s">
        <v>259</v>
      </c>
      <c r="E149" s="36" t="s">
        <v>38</v>
      </c>
      <c r="F149" s="110">
        <f>F151</f>
        <v>4195.6000000000004</v>
      </c>
      <c r="G149" s="151">
        <f>G151</f>
        <v>4374.7</v>
      </c>
    </row>
    <row r="150" spans="1:7">
      <c r="A150" s="207" t="s">
        <v>264</v>
      </c>
      <c r="B150" s="36" t="s">
        <v>96</v>
      </c>
      <c r="C150" s="36" t="s">
        <v>94</v>
      </c>
      <c r="D150" s="36" t="s">
        <v>263</v>
      </c>
      <c r="E150" s="36" t="s">
        <v>38</v>
      </c>
      <c r="F150" s="110">
        <f>F151</f>
        <v>4195.6000000000004</v>
      </c>
      <c r="G150" s="151">
        <f>G151</f>
        <v>4374.7</v>
      </c>
    </row>
    <row r="151" spans="1:7" ht="72">
      <c r="A151" s="90" t="s">
        <v>47</v>
      </c>
      <c r="B151" s="23" t="s">
        <v>96</v>
      </c>
      <c r="C151" s="23" t="s">
        <v>94</v>
      </c>
      <c r="D151" s="23" t="s">
        <v>263</v>
      </c>
      <c r="E151" s="36" t="s">
        <v>48</v>
      </c>
      <c r="F151" s="63">
        <f>F152</f>
        <v>4195.6000000000004</v>
      </c>
      <c r="G151" s="150">
        <f>G152</f>
        <v>4374.7</v>
      </c>
    </row>
    <row r="152" spans="1:7" ht="29.25">
      <c r="A152" s="90" t="s">
        <v>53</v>
      </c>
      <c r="B152" s="23" t="s">
        <v>96</v>
      </c>
      <c r="C152" s="23" t="s">
        <v>94</v>
      </c>
      <c r="D152" s="23" t="s">
        <v>263</v>
      </c>
      <c r="E152" s="36" t="s">
        <v>54</v>
      </c>
      <c r="F152" s="63">
        <v>4195.6000000000004</v>
      </c>
      <c r="G152" s="150">
        <v>4374.7</v>
      </c>
    </row>
    <row r="153" spans="1:7" ht="30">
      <c r="A153" s="97" t="s">
        <v>151</v>
      </c>
      <c r="B153" s="80" t="s">
        <v>152</v>
      </c>
      <c r="C153" s="80" t="s">
        <v>153</v>
      </c>
      <c r="D153" s="80" t="s">
        <v>41</v>
      </c>
      <c r="E153" s="80" t="s">
        <v>38</v>
      </c>
      <c r="F153" s="81">
        <f>F154+F167</f>
        <v>36337.799999999996</v>
      </c>
      <c r="G153" s="160">
        <f>G154+G167</f>
        <v>37269.509999999995</v>
      </c>
    </row>
    <row r="154" spans="1:7">
      <c r="A154" s="93" t="s">
        <v>154</v>
      </c>
      <c r="B154" s="36" t="s">
        <v>152</v>
      </c>
      <c r="C154" s="36" t="s">
        <v>40</v>
      </c>
      <c r="D154" s="36" t="s">
        <v>41</v>
      </c>
      <c r="E154" s="36" t="s">
        <v>38</v>
      </c>
      <c r="F154" s="59">
        <f>F157+F155</f>
        <v>35868.799999999996</v>
      </c>
      <c r="G154" s="221">
        <f>G157+G155</f>
        <v>36752.509999999995</v>
      </c>
    </row>
    <row r="155" spans="1:7">
      <c r="A155" s="69" t="s">
        <v>276</v>
      </c>
      <c r="B155" s="26" t="s">
        <v>152</v>
      </c>
      <c r="C155" s="26" t="s">
        <v>40</v>
      </c>
      <c r="D155" s="26" t="s">
        <v>277</v>
      </c>
      <c r="E155" s="26" t="s">
        <v>38</v>
      </c>
      <c r="F155" s="59">
        <f>F156</f>
        <v>8.1999999999999993</v>
      </c>
      <c r="G155" s="221">
        <f>G156</f>
        <v>8.1999999999999993</v>
      </c>
    </row>
    <row r="156" spans="1:7" ht="29.25">
      <c r="A156" s="90" t="s">
        <v>53</v>
      </c>
      <c r="B156" s="26" t="s">
        <v>152</v>
      </c>
      <c r="C156" s="26" t="s">
        <v>40</v>
      </c>
      <c r="D156" s="26" t="s">
        <v>277</v>
      </c>
      <c r="E156" s="26" t="s">
        <v>54</v>
      </c>
      <c r="F156" s="59">
        <v>8.1999999999999993</v>
      </c>
      <c r="G156" s="221">
        <v>8.1999999999999993</v>
      </c>
    </row>
    <row r="157" spans="1:7" ht="30">
      <c r="A157" s="93" t="s">
        <v>155</v>
      </c>
      <c r="B157" s="36" t="s">
        <v>152</v>
      </c>
      <c r="C157" s="36" t="s">
        <v>40</v>
      </c>
      <c r="D157" s="36" t="s">
        <v>74</v>
      </c>
      <c r="E157" s="36" t="s">
        <v>38</v>
      </c>
      <c r="F157" s="59">
        <f>F158+F161+F164</f>
        <v>35860.6</v>
      </c>
      <c r="G157" s="135">
        <f>G158+G161+G164</f>
        <v>36744.31</v>
      </c>
    </row>
    <row r="158" spans="1:7" ht="30">
      <c r="A158" s="93" t="s">
        <v>75</v>
      </c>
      <c r="B158" s="36" t="s">
        <v>152</v>
      </c>
      <c r="C158" s="36" t="s">
        <v>40</v>
      </c>
      <c r="D158" s="36" t="s">
        <v>76</v>
      </c>
      <c r="E158" s="36" t="s">
        <v>38</v>
      </c>
      <c r="F158" s="59">
        <f>F160</f>
        <v>17187.39</v>
      </c>
      <c r="G158" s="135">
        <f>G160</f>
        <v>17629.41</v>
      </c>
    </row>
    <row r="159" spans="1:7" ht="28.5">
      <c r="A159" s="96" t="s">
        <v>75</v>
      </c>
      <c r="B159" s="26" t="s">
        <v>152</v>
      </c>
      <c r="C159" s="26" t="s">
        <v>40</v>
      </c>
      <c r="D159" s="26" t="s">
        <v>74</v>
      </c>
      <c r="E159" s="26" t="s">
        <v>38</v>
      </c>
      <c r="F159" s="37">
        <f>F160</f>
        <v>17187.39</v>
      </c>
      <c r="G159" s="136">
        <f>G160</f>
        <v>17629.41</v>
      </c>
    </row>
    <row r="160" spans="1:7">
      <c r="A160" s="89" t="s">
        <v>118</v>
      </c>
      <c r="B160" s="26" t="s">
        <v>152</v>
      </c>
      <c r="C160" s="26" t="s">
        <v>40</v>
      </c>
      <c r="D160" s="26" t="s">
        <v>76</v>
      </c>
      <c r="E160" s="23" t="s">
        <v>119</v>
      </c>
      <c r="F160" s="37">
        <f>Лист3!G188</f>
        <v>17187.39</v>
      </c>
      <c r="G160" s="136">
        <f>Лист3!H188</f>
        <v>17629.41</v>
      </c>
    </row>
    <row r="161" spans="1:7">
      <c r="A161" s="93" t="s">
        <v>156</v>
      </c>
      <c r="B161" s="36" t="s">
        <v>152</v>
      </c>
      <c r="C161" s="36" t="s">
        <v>40</v>
      </c>
      <c r="D161" s="36" t="s">
        <v>157</v>
      </c>
      <c r="E161" s="36" t="s">
        <v>38</v>
      </c>
      <c r="F161" s="59">
        <f>F162</f>
        <v>4170.8999999999996</v>
      </c>
      <c r="G161" s="135">
        <f>G162</f>
        <v>4371.3999999999996</v>
      </c>
    </row>
    <row r="162" spans="1:7" ht="28.5">
      <c r="A162" s="96" t="s">
        <v>75</v>
      </c>
      <c r="B162" s="26" t="s">
        <v>152</v>
      </c>
      <c r="C162" s="26" t="s">
        <v>40</v>
      </c>
      <c r="D162" s="26" t="s">
        <v>158</v>
      </c>
      <c r="E162" s="26" t="s">
        <v>38</v>
      </c>
      <c r="F162" s="37">
        <f>F163</f>
        <v>4170.8999999999996</v>
      </c>
      <c r="G162" s="136">
        <f>G163</f>
        <v>4371.3999999999996</v>
      </c>
    </row>
    <row r="163" spans="1:7">
      <c r="A163" s="87" t="s">
        <v>118</v>
      </c>
      <c r="B163" s="26" t="s">
        <v>152</v>
      </c>
      <c r="C163" s="26" t="s">
        <v>40</v>
      </c>
      <c r="D163" s="26" t="s">
        <v>158</v>
      </c>
      <c r="E163" s="23" t="s">
        <v>119</v>
      </c>
      <c r="F163" s="37">
        <f>Лист3!G191</f>
        <v>4170.8999999999996</v>
      </c>
      <c r="G163" s="136">
        <f>Лист3!H191</f>
        <v>4371.3999999999996</v>
      </c>
    </row>
    <row r="164" spans="1:7">
      <c r="A164" s="93" t="s">
        <v>159</v>
      </c>
      <c r="B164" s="36" t="s">
        <v>152</v>
      </c>
      <c r="C164" s="36" t="s">
        <v>40</v>
      </c>
      <c r="D164" s="36" t="s">
        <v>160</v>
      </c>
      <c r="E164" s="36" t="s">
        <v>38</v>
      </c>
      <c r="F164" s="59">
        <f>F165</f>
        <v>14502.31</v>
      </c>
      <c r="G164" s="135">
        <f>G165</f>
        <v>14743.5</v>
      </c>
    </row>
    <row r="165" spans="1:7" ht="28.5">
      <c r="A165" s="96" t="s">
        <v>75</v>
      </c>
      <c r="B165" s="26" t="s">
        <v>152</v>
      </c>
      <c r="C165" s="26" t="s">
        <v>40</v>
      </c>
      <c r="D165" s="26" t="s">
        <v>161</v>
      </c>
      <c r="E165" s="26" t="s">
        <v>38</v>
      </c>
      <c r="F165" s="37">
        <f>F166</f>
        <v>14502.31</v>
      </c>
      <c r="G165" s="136">
        <f>G166</f>
        <v>14743.5</v>
      </c>
    </row>
    <row r="166" spans="1:7">
      <c r="A166" s="89" t="s">
        <v>118</v>
      </c>
      <c r="B166" s="26" t="s">
        <v>152</v>
      </c>
      <c r="C166" s="26" t="s">
        <v>40</v>
      </c>
      <c r="D166" s="26" t="s">
        <v>161</v>
      </c>
      <c r="E166" s="23" t="s">
        <v>119</v>
      </c>
      <c r="F166" s="37">
        <f>Лист3!G194</f>
        <v>14502.31</v>
      </c>
      <c r="G166" s="136">
        <f>Лист3!H194</f>
        <v>14743.5</v>
      </c>
    </row>
    <row r="167" spans="1:7" ht="30">
      <c r="A167" s="93" t="s">
        <v>162</v>
      </c>
      <c r="B167" s="36" t="s">
        <v>152</v>
      </c>
      <c r="C167" s="36" t="s">
        <v>64</v>
      </c>
      <c r="D167" s="36" t="s">
        <v>41</v>
      </c>
      <c r="E167" s="36" t="s">
        <v>38</v>
      </c>
      <c r="F167" s="59">
        <f>F168</f>
        <v>469</v>
      </c>
      <c r="G167" s="135">
        <f>G168</f>
        <v>517</v>
      </c>
    </row>
    <row r="168" spans="1:7" ht="72">
      <c r="A168" s="89" t="s">
        <v>141</v>
      </c>
      <c r="B168" s="26" t="s">
        <v>152</v>
      </c>
      <c r="C168" s="26" t="s">
        <v>64</v>
      </c>
      <c r="D168" s="26" t="s">
        <v>142</v>
      </c>
      <c r="E168" s="26" t="s">
        <v>38</v>
      </c>
      <c r="F168" s="37">
        <f>F169</f>
        <v>469</v>
      </c>
      <c r="G168" s="136">
        <f>G169</f>
        <v>517</v>
      </c>
    </row>
    <row r="169" spans="1:7" ht="29.25">
      <c r="A169" s="89" t="s">
        <v>75</v>
      </c>
      <c r="B169" s="26" t="s">
        <v>152</v>
      </c>
      <c r="C169" s="26" t="s">
        <v>64</v>
      </c>
      <c r="D169" s="26" t="s">
        <v>143</v>
      </c>
      <c r="E169" s="26" t="s">
        <v>38</v>
      </c>
      <c r="F169" s="37">
        <f>F170+F171</f>
        <v>469</v>
      </c>
      <c r="G169" s="136">
        <f>G170+G171</f>
        <v>517</v>
      </c>
    </row>
    <row r="170" spans="1:7" ht="72">
      <c r="A170" s="90" t="s">
        <v>47</v>
      </c>
      <c r="B170" s="26" t="s">
        <v>152</v>
      </c>
      <c r="C170" s="26" t="s">
        <v>163</v>
      </c>
      <c r="D170" s="26" t="s">
        <v>143</v>
      </c>
      <c r="E170" s="23" t="s">
        <v>48</v>
      </c>
      <c r="F170" s="37">
        <f>Лист3!G198</f>
        <v>355</v>
      </c>
      <c r="G170" s="136">
        <f>Лист3!H198</f>
        <v>408</v>
      </c>
    </row>
    <row r="171" spans="1:7" ht="29.25">
      <c r="A171" s="90" t="s">
        <v>53</v>
      </c>
      <c r="B171" s="26" t="s">
        <v>152</v>
      </c>
      <c r="C171" s="26" t="s">
        <v>163</v>
      </c>
      <c r="D171" s="26" t="s">
        <v>143</v>
      </c>
      <c r="E171" s="23" t="s">
        <v>54</v>
      </c>
      <c r="F171" s="37">
        <f>Лист3!G199</f>
        <v>114</v>
      </c>
      <c r="G171" s="136">
        <f>Лист3!H199</f>
        <v>109</v>
      </c>
    </row>
    <row r="172" spans="1:7">
      <c r="A172" s="159" t="s">
        <v>93</v>
      </c>
      <c r="B172" s="71" t="s">
        <v>94</v>
      </c>
      <c r="C172" s="71" t="s">
        <v>36</v>
      </c>
      <c r="D172" s="71" t="s">
        <v>41</v>
      </c>
      <c r="E172" s="71" t="s">
        <v>38</v>
      </c>
      <c r="F172" s="78">
        <f t="shared" ref="F172:G172" si="12">F173</f>
        <v>262.60000000000002</v>
      </c>
      <c r="G172" s="156">
        <f t="shared" si="12"/>
        <v>273.8</v>
      </c>
    </row>
    <row r="173" spans="1:7">
      <c r="A173" s="89" t="s">
        <v>95</v>
      </c>
      <c r="B173" s="26" t="s">
        <v>94</v>
      </c>
      <c r="C173" s="26" t="s">
        <v>96</v>
      </c>
      <c r="D173" s="26" t="s">
        <v>41</v>
      </c>
      <c r="E173" s="26" t="s">
        <v>38</v>
      </c>
      <c r="F173" s="63">
        <f>F175</f>
        <v>262.60000000000002</v>
      </c>
      <c r="G173" s="150">
        <f>G175</f>
        <v>273.8</v>
      </c>
    </row>
    <row r="174" spans="1:7">
      <c r="A174" s="173" t="s">
        <v>266</v>
      </c>
      <c r="B174" s="26" t="s">
        <v>94</v>
      </c>
      <c r="C174" s="26" t="s">
        <v>96</v>
      </c>
      <c r="D174" s="26" t="s">
        <v>267</v>
      </c>
      <c r="E174" s="26" t="s">
        <v>38</v>
      </c>
      <c r="F174" s="63">
        <f>F175</f>
        <v>262.60000000000002</v>
      </c>
      <c r="G174" s="150">
        <f>G175</f>
        <v>273.8</v>
      </c>
    </row>
    <row r="175" spans="1:7" ht="43.5">
      <c r="A175" s="172" t="s">
        <v>268</v>
      </c>
      <c r="B175" s="26" t="s">
        <v>94</v>
      </c>
      <c r="C175" s="26" t="s">
        <v>96</v>
      </c>
      <c r="D175" s="26" t="s">
        <v>269</v>
      </c>
      <c r="E175" s="26" t="s">
        <v>38</v>
      </c>
      <c r="F175" s="63">
        <f t="shared" ref="F175:G176" si="13">F176</f>
        <v>262.60000000000002</v>
      </c>
      <c r="G175" s="150">
        <f t="shared" si="13"/>
        <v>273.8</v>
      </c>
    </row>
    <row r="176" spans="1:7">
      <c r="A176" s="173" t="s">
        <v>271</v>
      </c>
      <c r="B176" s="26" t="s">
        <v>94</v>
      </c>
      <c r="C176" s="26" t="s">
        <v>96</v>
      </c>
      <c r="D176" s="26" t="s">
        <v>270</v>
      </c>
      <c r="E176" s="26" t="s">
        <v>38</v>
      </c>
      <c r="F176" s="63">
        <f t="shared" si="13"/>
        <v>262.60000000000002</v>
      </c>
      <c r="G176" s="150">
        <f t="shared" si="13"/>
        <v>273.8</v>
      </c>
    </row>
    <row r="177" spans="1:7" ht="29.25">
      <c r="A177" s="90" t="s">
        <v>53</v>
      </c>
      <c r="B177" s="26" t="s">
        <v>94</v>
      </c>
      <c r="C177" s="26" t="s">
        <v>96</v>
      </c>
      <c r="D177" s="26" t="s">
        <v>270</v>
      </c>
      <c r="E177" s="23" t="s">
        <v>54</v>
      </c>
      <c r="F177" s="63">
        <v>262.60000000000002</v>
      </c>
      <c r="G177" s="150">
        <v>273.8</v>
      </c>
    </row>
    <row r="178" spans="1:7">
      <c r="A178" s="97" t="s">
        <v>144</v>
      </c>
      <c r="B178" s="71" t="s">
        <v>145</v>
      </c>
      <c r="C178" s="71" t="s">
        <v>36</v>
      </c>
      <c r="D178" s="71" t="s">
        <v>41</v>
      </c>
      <c r="E178" s="71" t="s">
        <v>38</v>
      </c>
      <c r="F178" s="78">
        <f>F179+F182</f>
        <v>6697.5</v>
      </c>
      <c r="G178" s="156">
        <f>G179+G182</f>
        <v>6828.3</v>
      </c>
    </row>
    <row r="179" spans="1:7">
      <c r="A179" s="105" t="s">
        <v>146</v>
      </c>
      <c r="B179" s="33" t="s">
        <v>145</v>
      </c>
      <c r="C179" s="33" t="s">
        <v>50</v>
      </c>
      <c r="D179" s="33" t="s">
        <v>41</v>
      </c>
      <c r="E179" s="33" t="s">
        <v>38</v>
      </c>
      <c r="F179" s="67">
        <f t="shared" ref="F179:G180" si="14">F180</f>
        <v>3042.7</v>
      </c>
      <c r="G179" s="161">
        <f t="shared" si="14"/>
        <v>3173.5</v>
      </c>
    </row>
    <row r="180" spans="1:7">
      <c r="A180" s="87" t="s">
        <v>147</v>
      </c>
      <c r="B180" s="27" t="s">
        <v>145</v>
      </c>
      <c r="C180" s="27" t="s">
        <v>50</v>
      </c>
      <c r="D180" s="23" t="s">
        <v>148</v>
      </c>
      <c r="E180" s="26" t="s">
        <v>38</v>
      </c>
      <c r="F180" s="42">
        <f t="shared" si="14"/>
        <v>3042.7</v>
      </c>
      <c r="G180" s="106">
        <f t="shared" si="14"/>
        <v>3173.5</v>
      </c>
    </row>
    <row r="181" spans="1:7">
      <c r="A181" s="87" t="s">
        <v>192</v>
      </c>
      <c r="B181" s="27" t="s">
        <v>145</v>
      </c>
      <c r="C181" s="27" t="s">
        <v>50</v>
      </c>
      <c r="D181" s="23" t="s">
        <v>148</v>
      </c>
      <c r="E181" s="23" t="s">
        <v>119</v>
      </c>
      <c r="F181" s="42">
        <f>Лист3!G165</f>
        <v>3042.7</v>
      </c>
      <c r="G181" s="106">
        <f>Лист3!H165</f>
        <v>3173.5</v>
      </c>
    </row>
    <row r="182" spans="1:7">
      <c r="A182" s="87" t="s">
        <v>208</v>
      </c>
      <c r="B182" s="24" t="s">
        <v>145</v>
      </c>
      <c r="C182" s="24" t="s">
        <v>64</v>
      </c>
      <c r="D182" s="23" t="s">
        <v>37</v>
      </c>
      <c r="E182" s="23" t="s">
        <v>38</v>
      </c>
      <c r="F182" s="42">
        <f>Лист3!G166</f>
        <v>3654.8</v>
      </c>
      <c r="G182" s="106">
        <f>Лист3!H166</f>
        <v>3654.8</v>
      </c>
    </row>
    <row r="183" spans="1:7" ht="71.25">
      <c r="A183" s="87" t="s">
        <v>209</v>
      </c>
      <c r="B183" s="24" t="s">
        <v>145</v>
      </c>
      <c r="C183" s="24" t="s">
        <v>64</v>
      </c>
      <c r="D183" s="23" t="s">
        <v>210</v>
      </c>
      <c r="E183" s="23" t="s">
        <v>38</v>
      </c>
      <c r="F183" s="42">
        <f>Лист3!G167</f>
        <v>3654.8</v>
      </c>
      <c r="G183" s="106">
        <f>Лист3!H167</f>
        <v>3654.8</v>
      </c>
    </row>
    <row r="184" spans="1:7">
      <c r="A184" s="87" t="s">
        <v>211</v>
      </c>
      <c r="B184" s="24" t="s">
        <v>145</v>
      </c>
      <c r="C184" s="24" t="s">
        <v>64</v>
      </c>
      <c r="D184" s="23" t="s">
        <v>210</v>
      </c>
      <c r="E184" s="23" t="s">
        <v>212</v>
      </c>
      <c r="F184" s="42">
        <f>Лист3!G168</f>
        <v>3654.8</v>
      </c>
      <c r="G184" s="106">
        <f>Лист3!H168</f>
        <v>3654.8</v>
      </c>
    </row>
    <row r="185" spans="1:7">
      <c r="A185" s="162" t="s">
        <v>168</v>
      </c>
      <c r="B185" s="39" t="s">
        <v>68</v>
      </c>
      <c r="C185" s="39" t="s">
        <v>43</v>
      </c>
      <c r="D185" s="39" t="s">
        <v>41</v>
      </c>
      <c r="E185" s="39" t="s">
        <v>38</v>
      </c>
      <c r="F185" s="54">
        <f>F186</f>
        <v>700</v>
      </c>
      <c r="G185" s="163">
        <f>G186</f>
        <v>630</v>
      </c>
    </row>
    <row r="186" spans="1:7" ht="28.5">
      <c r="A186" s="96" t="s">
        <v>169</v>
      </c>
      <c r="B186" s="26" t="s">
        <v>68</v>
      </c>
      <c r="C186" s="26" t="s">
        <v>43</v>
      </c>
      <c r="D186" s="26" t="s">
        <v>170</v>
      </c>
      <c r="E186" s="26" t="s">
        <v>38</v>
      </c>
      <c r="F186" s="37">
        <f>F187</f>
        <v>700</v>
      </c>
      <c r="G186" s="136">
        <f>G187</f>
        <v>630</v>
      </c>
    </row>
    <row r="187" spans="1:7" ht="29.25">
      <c r="A187" s="89" t="s">
        <v>53</v>
      </c>
      <c r="B187" s="26" t="s">
        <v>68</v>
      </c>
      <c r="C187" s="26" t="s">
        <v>43</v>
      </c>
      <c r="D187" s="26" t="s">
        <v>170</v>
      </c>
      <c r="E187" s="23" t="s">
        <v>54</v>
      </c>
      <c r="F187" s="37">
        <v>700</v>
      </c>
      <c r="G187" s="136">
        <v>630</v>
      </c>
    </row>
    <row r="188" spans="1:7" ht="45">
      <c r="A188" s="102" t="s">
        <v>174</v>
      </c>
      <c r="B188" s="40" t="s">
        <v>175</v>
      </c>
      <c r="C188" s="40" t="s">
        <v>36</v>
      </c>
      <c r="D188" s="39" t="s">
        <v>41</v>
      </c>
      <c r="E188" s="39" t="s">
        <v>38</v>
      </c>
      <c r="F188" s="117">
        <f>F189+F199</f>
        <v>74856.3</v>
      </c>
      <c r="G188" s="164">
        <f>G189+G199</f>
        <v>81109.08</v>
      </c>
    </row>
    <row r="189" spans="1:7" ht="30">
      <c r="A189" s="93" t="s">
        <v>176</v>
      </c>
      <c r="B189" s="34" t="s">
        <v>175</v>
      </c>
      <c r="C189" s="34" t="s">
        <v>40</v>
      </c>
      <c r="D189" s="36" t="s">
        <v>41</v>
      </c>
      <c r="E189" s="36" t="s">
        <v>38</v>
      </c>
      <c r="F189" s="110">
        <f>F190</f>
        <v>73996.3</v>
      </c>
      <c r="G189" s="151">
        <f>G190</f>
        <v>81010.75</v>
      </c>
    </row>
    <row r="190" spans="1:7">
      <c r="A190" s="96" t="s">
        <v>177</v>
      </c>
      <c r="B190" s="27" t="s">
        <v>175</v>
      </c>
      <c r="C190" s="27" t="s">
        <v>40</v>
      </c>
      <c r="D190" s="26" t="s">
        <v>178</v>
      </c>
      <c r="E190" s="26" t="s">
        <v>38</v>
      </c>
      <c r="F190" s="63">
        <f>F194+F191</f>
        <v>73996.3</v>
      </c>
      <c r="G190" s="150">
        <f>G194+G191</f>
        <v>81010.75</v>
      </c>
    </row>
    <row r="191" spans="1:7">
      <c r="A191" s="96" t="s">
        <v>177</v>
      </c>
      <c r="B191" s="27" t="s">
        <v>175</v>
      </c>
      <c r="C191" s="27" t="s">
        <v>40</v>
      </c>
      <c r="D191" s="26" t="s">
        <v>179</v>
      </c>
      <c r="E191" s="26" t="s">
        <v>38</v>
      </c>
      <c r="F191" s="63">
        <f>F192</f>
        <v>0</v>
      </c>
      <c r="G191" s="150">
        <f>G192</f>
        <v>2118.25</v>
      </c>
    </row>
    <row r="192" spans="1:7" ht="28.5">
      <c r="A192" s="96" t="s">
        <v>180</v>
      </c>
      <c r="B192" s="27" t="s">
        <v>175</v>
      </c>
      <c r="C192" s="27" t="s">
        <v>40</v>
      </c>
      <c r="D192" s="26" t="s">
        <v>181</v>
      </c>
      <c r="E192" s="26" t="s">
        <v>38</v>
      </c>
      <c r="F192" s="63">
        <f>F193</f>
        <v>0</v>
      </c>
      <c r="G192" s="150">
        <f>G193</f>
        <v>2118.25</v>
      </c>
    </row>
    <row r="193" spans="1:7">
      <c r="A193" s="96" t="s">
        <v>182</v>
      </c>
      <c r="B193" s="27" t="s">
        <v>175</v>
      </c>
      <c r="C193" s="27" t="s">
        <v>40</v>
      </c>
      <c r="D193" s="26" t="s">
        <v>181</v>
      </c>
      <c r="E193" s="26" t="s">
        <v>183</v>
      </c>
      <c r="F193" s="63"/>
      <c r="G193" s="150">
        <v>2118.25</v>
      </c>
    </row>
    <row r="194" spans="1:7">
      <c r="A194" s="96" t="s">
        <v>177</v>
      </c>
      <c r="B194" s="27" t="s">
        <v>175</v>
      </c>
      <c r="C194" s="27" t="s">
        <v>40</v>
      </c>
      <c r="D194" s="26" t="s">
        <v>221</v>
      </c>
      <c r="E194" s="26" t="s">
        <v>38</v>
      </c>
      <c r="F194" s="63">
        <f>F195+F197</f>
        <v>73996.3</v>
      </c>
      <c r="G194" s="150">
        <f>G195+G197</f>
        <v>78892.5</v>
      </c>
    </row>
    <row r="195" spans="1:7" ht="42.75">
      <c r="A195" s="96" t="s">
        <v>220</v>
      </c>
      <c r="B195" s="27" t="s">
        <v>175</v>
      </c>
      <c r="C195" s="27" t="s">
        <v>40</v>
      </c>
      <c r="D195" s="26" t="s">
        <v>219</v>
      </c>
      <c r="E195" s="26" t="s">
        <v>38</v>
      </c>
      <c r="F195" s="63">
        <f>F196</f>
        <v>73164.3</v>
      </c>
      <c r="G195" s="150">
        <f>G196</f>
        <v>78784.5</v>
      </c>
    </row>
    <row r="196" spans="1:7">
      <c r="A196" s="96" t="s">
        <v>77</v>
      </c>
      <c r="B196" s="27" t="s">
        <v>175</v>
      </c>
      <c r="C196" s="27" t="s">
        <v>40</v>
      </c>
      <c r="D196" s="26" t="s">
        <v>219</v>
      </c>
      <c r="E196" s="26" t="s">
        <v>83</v>
      </c>
      <c r="F196" s="63">
        <f>Лист3!G252</f>
        <v>73164.3</v>
      </c>
      <c r="G196" s="150">
        <f>Лист3!H252</f>
        <v>78784.5</v>
      </c>
    </row>
    <row r="197" spans="1:7" ht="42.75">
      <c r="A197" s="96" t="s">
        <v>220</v>
      </c>
      <c r="B197" s="27" t="s">
        <v>175</v>
      </c>
      <c r="C197" s="27" t="s">
        <v>40</v>
      </c>
      <c r="D197" s="26" t="s">
        <v>218</v>
      </c>
      <c r="E197" s="26" t="s">
        <v>38</v>
      </c>
      <c r="F197" s="63">
        <f>F198</f>
        <v>832</v>
      </c>
      <c r="G197" s="150">
        <f>G198</f>
        <v>108</v>
      </c>
    </row>
    <row r="198" spans="1:7">
      <c r="A198" s="96" t="s">
        <v>77</v>
      </c>
      <c r="B198" s="27" t="s">
        <v>175</v>
      </c>
      <c r="C198" s="27" t="s">
        <v>40</v>
      </c>
      <c r="D198" s="26" t="s">
        <v>218</v>
      </c>
      <c r="E198" s="26" t="s">
        <v>83</v>
      </c>
      <c r="F198" s="63">
        <f>Лист3!G254</f>
        <v>832</v>
      </c>
      <c r="G198" s="150">
        <f>Лист3!H254</f>
        <v>108</v>
      </c>
    </row>
    <row r="199" spans="1:7">
      <c r="A199" s="93" t="s">
        <v>184</v>
      </c>
      <c r="B199" s="35" t="s">
        <v>175</v>
      </c>
      <c r="C199" s="35" t="s">
        <v>43</v>
      </c>
      <c r="D199" s="36" t="s">
        <v>37</v>
      </c>
      <c r="E199" s="36" t="s">
        <v>38</v>
      </c>
      <c r="F199" s="110">
        <f t="shared" ref="F199:G201" si="15">F200</f>
        <v>860</v>
      </c>
      <c r="G199" s="151">
        <f t="shared" si="15"/>
        <v>98.33</v>
      </c>
    </row>
    <row r="200" spans="1:7">
      <c r="A200" s="93" t="s">
        <v>185</v>
      </c>
      <c r="B200" s="35" t="s">
        <v>175</v>
      </c>
      <c r="C200" s="35" t="s">
        <v>43</v>
      </c>
      <c r="D200" s="36" t="s">
        <v>186</v>
      </c>
      <c r="E200" s="36" t="s">
        <v>38</v>
      </c>
      <c r="F200" s="110">
        <f t="shared" si="15"/>
        <v>860</v>
      </c>
      <c r="G200" s="151">
        <f t="shared" si="15"/>
        <v>98.33</v>
      </c>
    </row>
    <row r="201" spans="1:7" ht="28.5">
      <c r="A201" s="87" t="s">
        <v>187</v>
      </c>
      <c r="B201" s="25" t="s">
        <v>175</v>
      </c>
      <c r="C201" s="25" t="s">
        <v>43</v>
      </c>
      <c r="D201" s="26" t="s">
        <v>188</v>
      </c>
      <c r="E201" s="26" t="s">
        <v>38</v>
      </c>
      <c r="F201" s="37">
        <f t="shared" si="15"/>
        <v>860</v>
      </c>
      <c r="G201" s="136">
        <f t="shared" si="15"/>
        <v>98.33</v>
      </c>
    </row>
    <row r="202" spans="1:7">
      <c r="A202" s="87" t="s">
        <v>77</v>
      </c>
      <c r="B202" s="25" t="s">
        <v>175</v>
      </c>
      <c r="C202" s="25" t="s">
        <v>43</v>
      </c>
      <c r="D202" s="23" t="s">
        <v>188</v>
      </c>
      <c r="E202" s="23" t="s">
        <v>83</v>
      </c>
      <c r="F202" s="42">
        <v>860</v>
      </c>
      <c r="G202" s="106">
        <v>98.33</v>
      </c>
    </row>
    <row r="203" spans="1:7" ht="28.5">
      <c r="A203" s="96" t="s">
        <v>187</v>
      </c>
      <c r="B203" s="29" t="s">
        <v>175</v>
      </c>
      <c r="C203" s="29" t="s">
        <v>43</v>
      </c>
      <c r="D203" s="23" t="s">
        <v>229</v>
      </c>
      <c r="E203" s="23" t="s">
        <v>38</v>
      </c>
      <c r="F203" s="63">
        <f>F204</f>
        <v>0</v>
      </c>
      <c r="G203" s="150">
        <f>G204</f>
        <v>0</v>
      </c>
    </row>
    <row r="204" spans="1:7">
      <c r="A204" s="96" t="s">
        <v>189</v>
      </c>
      <c r="B204" s="29" t="s">
        <v>230</v>
      </c>
      <c r="C204" s="29" t="s">
        <v>231</v>
      </c>
      <c r="D204" s="23" t="s">
        <v>229</v>
      </c>
      <c r="E204" s="23" t="s">
        <v>83</v>
      </c>
      <c r="F204" s="64">
        <f>Лист3!G260</f>
        <v>0</v>
      </c>
      <c r="G204" s="165">
        <f>Лист3!H260</f>
        <v>0</v>
      </c>
    </row>
    <row r="205" spans="1:7">
      <c r="A205" s="97" t="s">
        <v>194</v>
      </c>
      <c r="B205" s="70" t="s">
        <v>195</v>
      </c>
      <c r="C205" s="70" t="s">
        <v>36</v>
      </c>
      <c r="D205" s="71" t="s">
        <v>41</v>
      </c>
      <c r="E205" s="71" t="s">
        <v>38</v>
      </c>
      <c r="F205" s="73">
        <f>F206</f>
        <v>13972.46</v>
      </c>
      <c r="G205" s="166">
        <f>G206</f>
        <v>29248.080000000002</v>
      </c>
    </row>
    <row r="206" spans="1:7">
      <c r="A206" s="87" t="s">
        <v>194</v>
      </c>
      <c r="B206" s="29" t="s">
        <v>195</v>
      </c>
      <c r="C206" s="29" t="s">
        <v>195</v>
      </c>
      <c r="D206" s="23" t="s">
        <v>196</v>
      </c>
      <c r="E206" s="23" t="s">
        <v>38</v>
      </c>
      <c r="F206" s="64">
        <f>F207</f>
        <v>13972.46</v>
      </c>
      <c r="G206" s="165">
        <f>G207</f>
        <v>29248.080000000002</v>
      </c>
    </row>
    <row r="207" spans="1:7" ht="15.75" thickBot="1">
      <c r="A207" s="122" t="s">
        <v>55</v>
      </c>
      <c r="B207" s="83" t="s">
        <v>195</v>
      </c>
      <c r="C207" s="83" t="s">
        <v>195</v>
      </c>
      <c r="D207" s="82" t="s">
        <v>196</v>
      </c>
      <c r="E207" s="82" t="s">
        <v>56</v>
      </c>
      <c r="F207" s="124">
        <f>Лист3!G263</f>
        <v>13972.46</v>
      </c>
      <c r="G207" s="167">
        <f>Лист3!H263</f>
        <v>29248.080000000002</v>
      </c>
    </row>
    <row r="208" spans="1:7" ht="15.75" thickBot="1">
      <c r="A208" s="168" t="s">
        <v>18</v>
      </c>
      <c r="B208" s="169"/>
      <c r="C208" s="169"/>
      <c r="D208" s="169"/>
      <c r="E208" s="169"/>
      <c r="F208" s="170">
        <f>F7+F82+F106+F153+F178+F188+F185+F100+F86+F172+F205+F91</f>
        <v>565255.98</v>
      </c>
      <c r="G208" s="171">
        <f>G7+G82+G106+G153+G178+G188+G185+G100+G86+G172+G205+G91</f>
        <v>584961.69999999995</v>
      </c>
    </row>
    <row r="209" spans="1:7">
      <c r="A209" s="194"/>
      <c r="B209" s="195"/>
      <c r="C209" s="195"/>
      <c r="D209" s="195"/>
      <c r="E209" s="195"/>
      <c r="F209" s="196"/>
      <c r="G209" s="69"/>
    </row>
    <row r="210" spans="1:7" ht="30">
      <c r="A210" s="198" t="s">
        <v>19</v>
      </c>
      <c r="B210" s="199"/>
      <c r="C210" s="199"/>
      <c r="D210" s="199"/>
      <c r="E210" s="200" t="s">
        <v>20</v>
      </c>
      <c r="F210" s="208"/>
      <c r="G210" s="69"/>
    </row>
    <row r="211" spans="1:7">
      <c r="F211" s="19"/>
      <c r="G211" s="19"/>
    </row>
  </sheetData>
  <mergeCells count="3">
    <mergeCell ref="A4:G4"/>
    <mergeCell ref="F1:G1"/>
    <mergeCell ref="F5:G5"/>
  </mergeCells>
  <pageMargins left="0.70866141732283472" right="0.70866141732283472" top="0" bottom="0" header="0.31496062992125984" footer="0.31496062992125984"/>
  <pageSetup paperSize="9" scale="64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cher-rfo1</dc:creator>
  <cp:lastModifiedBy>cher-rfo1</cp:lastModifiedBy>
  <cp:lastPrinted>2014-11-17T07:26:30Z</cp:lastPrinted>
  <dcterms:created xsi:type="dcterms:W3CDTF">2013-11-07T07:05:35Z</dcterms:created>
  <dcterms:modified xsi:type="dcterms:W3CDTF">2014-11-17T08:54:08Z</dcterms:modified>
</cp:coreProperties>
</file>